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showInkAnnotation="0" autoCompressPictures="0"/>
  <mc:AlternateContent xmlns:mc="http://schemas.openxmlformats.org/markup-compatibility/2006">
    <mc:Choice Requires="x15">
      <x15ac:absPath xmlns:x15ac="http://schemas.microsoft.com/office/spreadsheetml/2010/11/ac" url="/Users/cwatson/Dropbox/AGE/Exploration/Property Summaries/Poker Game/Poker Game Spreadsheet/"/>
    </mc:Choice>
  </mc:AlternateContent>
  <xr:revisionPtr revIDLastSave="0" documentId="13_ncr:1_{09DA1EF1-60BF-CA46-9C2F-DE5A724D1BA1}" xr6:coauthVersionLast="45" xr6:coauthVersionMax="45" xr10:uidLastSave="{00000000-0000-0000-0000-000000000000}"/>
  <bookViews>
    <workbookView xWindow="0" yWindow="460" windowWidth="34380" windowHeight="27060" activeTab="2" xr2:uid="{00000000-000D-0000-FFFF-FFFF00000000}"/>
  </bookViews>
  <sheets>
    <sheet name="2020 Monthly CashFlow" sheetId="7" r:id="rId1"/>
    <sheet name="2 Yr Quarterly" sheetId="1" r:id="rId2"/>
    <sheet name="PokerGame5yr" sheetId="6" r:id="rId3"/>
  </sheets>
  <definedNames>
    <definedName name="_xlnm.Print_Area" localSheetId="1">'2 Yr Quarterly'!$A$1:$U$36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13" i="6" l="1"/>
  <c r="G32" i="6"/>
  <c r="F32" i="6"/>
  <c r="F7" i="6"/>
  <c r="D9" i="6"/>
  <c r="D8" i="6"/>
  <c r="F10" i="6"/>
  <c r="F23" i="6"/>
  <c r="D11" i="6"/>
  <c r="F12" i="6"/>
  <c r="C14" i="6"/>
  <c r="F24" i="6"/>
  <c r="F25" i="6"/>
  <c r="F27" i="6"/>
  <c r="F28" i="6"/>
  <c r="F29" i="6"/>
  <c r="F30" i="6"/>
  <c r="F34" i="6"/>
  <c r="F36" i="6"/>
  <c r="G7" i="6"/>
  <c r="G10" i="6"/>
  <c r="G23" i="6"/>
  <c r="G12" i="6"/>
  <c r="G24" i="6"/>
  <c r="G25" i="6"/>
  <c r="G29" i="6"/>
  <c r="G30" i="6"/>
  <c r="G34" i="6"/>
  <c r="G36" i="6"/>
  <c r="H17" i="6"/>
  <c r="H18" i="6"/>
  <c r="D19" i="6"/>
  <c r="H20" i="6"/>
  <c r="H27" i="6"/>
  <c r="H21" i="6"/>
  <c r="H28" i="6"/>
  <c r="H29" i="6"/>
  <c r="H30" i="6"/>
  <c r="H32" i="6"/>
  <c r="H34" i="6"/>
  <c r="H36" i="6"/>
  <c r="I17" i="6"/>
  <c r="I18" i="6"/>
  <c r="I20" i="6"/>
  <c r="I27" i="6"/>
  <c r="I21" i="6"/>
  <c r="I28" i="6"/>
  <c r="I29" i="6"/>
  <c r="I30" i="6"/>
  <c r="I32" i="6"/>
  <c r="I34" i="6"/>
  <c r="I36" i="6"/>
  <c r="G17" i="6"/>
  <c r="G18" i="6"/>
  <c r="G20" i="6"/>
  <c r="J20" i="6"/>
  <c r="J27" i="6"/>
  <c r="G21" i="6"/>
  <c r="J21" i="6"/>
  <c r="J28" i="6"/>
  <c r="J29" i="6"/>
  <c r="J30" i="6"/>
  <c r="J32" i="6"/>
  <c r="J34" i="6"/>
  <c r="J36" i="6"/>
  <c r="E23" i="6"/>
  <c r="E24" i="6"/>
  <c r="E25" i="6"/>
  <c r="E27" i="6"/>
  <c r="E28" i="6"/>
  <c r="E29" i="6"/>
  <c r="E30" i="6"/>
  <c r="E32" i="6"/>
  <c r="E34" i="6"/>
  <c r="E36" i="6"/>
  <c r="D6" i="1"/>
  <c r="I31" i="1"/>
  <c r="E73" i="7"/>
  <c r="E72" i="7"/>
  <c r="J71" i="7"/>
  <c r="M71" i="7"/>
  <c r="E71" i="7"/>
  <c r="K71" i="7"/>
  <c r="L71" i="7"/>
  <c r="G71" i="7"/>
  <c r="H71" i="7"/>
  <c r="F71" i="7"/>
  <c r="M70" i="7"/>
  <c r="E70" i="7"/>
  <c r="J17" i="6"/>
  <c r="K12" i="1"/>
  <c r="I12" i="1"/>
  <c r="H12" i="1"/>
  <c r="I10" i="1"/>
  <c r="H10" i="1"/>
  <c r="H7" i="1"/>
  <c r="I6" i="1"/>
  <c r="H6" i="1"/>
  <c r="D19" i="1"/>
  <c r="D17" i="6"/>
  <c r="C14" i="1"/>
  <c r="D11" i="1"/>
  <c r="C13" i="1"/>
  <c r="D9" i="1"/>
  <c r="D8" i="1"/>
  <c r="D17" i="1"/>
  <c r="D17" i="7"/>
  <c r="K10" i="1"/>
  <c r="K23" i="1"/>
  <c r="O23" i="1"/>
  <c r="K24" i="1"/>
  <c r="O24" i="1"/>
  <c r="O25" i="1"/>
  <c r="K20" i="1"/>
  <c r="K27" i="1"/>
  <c r="K21" i="1"/>
  <c r="K28" i="1"/>
  <c r="K29" i="1"/>
  <c r="L20" i="1"/>
  <c r="L27" i="1"/>
  <c r="L21" i="1"/>
  <c r="L28" i="1"/>
  <c r="L29" i="1"/>
  <c r="M20" i="1"/>
  <c r="M27" i="1"/>
  <c r="M21" i="1"/>
  <c r="M28" i="1"/>
  <c r="M29" i="1"/>
  <c r="N20" i="1"/>
  <c r="N27" i="1"/>
  <c r="N21" i="1"/>
  <c r="N28" i="1"/>
  <c r="N29" i="1"/>
  <c r="O29" i="1"/>
  <c r="O31" i="1"/>
  <c r="L31" i="1"/>
  <c r="E31" i="1"/>
  <c r="I7" i="1"/>
  <c r="J7" i="1"/>
  <c r="J18" i="6"/>
  <c r="E18" i="6"/>
  <c r="E17" i="6"/>
  <c r="N31" i="1"/>
  <c r="I29" i="1"/>
  <c r="K25" i="1"/>
  <c r="K31" i="1"/>
  <c r="M31" i="1"/>
  <c r="E29" i="1"/>
  <c r="J29" i="1"/>
  <c r="J31" i="1"/>
  <c r="J28" i="1"/>
  <c r="J27" i="1"/>
  <c r="I31" i="7"/>
  <c r="I25" i="7"/>
  <c r="O7" i="1"/>
  <c r="H25" i="1"/>
  <c r="H31" i="1"/>
  <c r="O28" i="1"/>
  <c r="E28" i="1"/>
  <c r="O27" i="1"/>
  <c r="E27" i="1"/>
  <c r="L18" i="1"/>
  <c r="M18" i="1"/>
  <c r="N18" i="1"/>
  <c r="K18" i="1"/>
  <c r="O18" i="1"/>
  <c r="E18" i="1"/>
  <c r="O20" i="1"/>
  <c r="E20" i="1"/>
  <c r="O21" i="1"/>
  <c r="E21" i="1"/>
  <c r="E17" i="1"/>
  <c r="J24" i="1"/>
  <c r="J23" i="1"/>
  <c r="I25" i="1"/>
  <c r="J25" i="1"/>
  <c r="J20" i="1"/>
  <c r="J21" i="1"/>
  <c r="J18" i="1"/>
  <c r="J17" i="1"/>
  <c r="M17" i="7"/>
  <c r="E17" i="7"/>
  <c r="K7" i="1"/>
  <c r="O12" i="1"/>
  <c r="J12" i="1"/>
  <c r="E12" i="1"/>
  <c r="E7" i="1"/>
  <c r="O6" i="1"/>
  <c r="E6" i="1"/>
  <c r="O5" i="1"/>
  <c r="E5" i="1"/>
  <c r="O10" i="1"/>
  <c r="J10" i="1"/>
  <c r="E10" i="1"/>
  <c r="J6" i="1"/>
  <c r="J5" i="1"/>
  <c r="G7" i="7"/>
  <c r="H7" i="7"/>
  <c r="I7" i="7"/>
  <c r="J7" i="7"/>
  <c r="K7" i="7"/>
  <c r="M7" i="7"/>
  <c r="I5" i="1"/>
  <c r="J10" i="7"/>
  <c r="J23" i="7"/>
  <c r="J12" i="7"/>
  <c r="J24" i="7"/>
  <c r="J25" i="7"/>
  <c r="J31" i="7"/>
  <c r="J72" i="7"/>
  <c r="J73" i="7"/>
  <c r="K10" i="7"/>
  <c r="K23" i="7"/>
  <c r="K12" i="7"/>
  <c r="K24" i="7"/>
  <c r="K25" i="7"/>
  <c r="K31" i="7"/>
  <c r="K72" i="7"/>
  <c r="K73" i="7"/>
  <c r="L18" i="7"/>
  <c r="L20" i="7"/>
  <c r="L27" i="7"/>
  <c r="L21" i="7"/>
  <c r="L28" i="7"/>
  <c r="L29" i="7"/>
  <c r="L31" i="7"/>
  <c r="L72" i="7"/>
  <c r="L73" i="7"/>
  <c r="M73" i="7"/>
  <c r="H10" i="7"/>
  <c r="H23" i="7"/>
  <c r="H12" i="7"/>
  <c r="H24" i="7"/>
  <c r="H25" i="7"/>
  <c r="H31" i="7"/>
  <c r="H72" i="7"/>
  <c r="H73" i="7"/>
  <c r="G10" i="7"/>
  <c r="G23" i="7"/>
  <c r="G12" i="7"/>
  <c r="G24" i="7"/>
  <c r="G25" i="7"/>
  <c r="G31" i="7"/>
  <c r="G72" i="7"/>
  <c r="G73" i="7"/>
  <c r="F72" i="7"/>
  <c r="F73" i="7"/>
  <c r="I73" i="7"/>
  <c r="I71" i="7"/>
  <c r="I72" i="7"/>
  <c r="E63" i="7"/>
  <c r="E64" i="7"/>
  <c r="E65" i="7"/>
  <c r="E66" i="7"/>
  <c r="E67" i="7"/>
  <c r="E68" i="7"/>
  <c r="E69" i="7"/>
  <c r="M72" i="7"/>
  <c r="E49" i="7"/>
  <c r="E51" i="7"/>
  <c r="E52" i="7"/>
  <c r="E53" i="7"/>
  <c r="E54" i="7"/>
  <c r="E55" i="7"/>
  <c r="E56" i="7"/>
  <c r="E57" i="7"/>
  <c r="E58" i="7"/>
  <c r="E60" i="7"/>
  <c r="E61" i="7"/>
  <c r="E36" i="7"/>
  <c r="E37" i="7"/>
  <c r="E38" i="7"/>
  <c r="E39" i="7"/>
  <c r="E41" i="7"/>
  <c r="E42" i="7"/>
  <c r="E43" i="7"/>
  <c r="E44" i="7"/>
  <c r="I46" i="7"/>
  <c r="E46" i="7"/>
  <c r="E47" i="7"/>
  <c r="E48" i="7"/>
  <c r="E35" i="7"/>
  <c r="F31" i="7"/>
  <c r="M31" i="7"/>
  <c r="E31" i="7"/>
  <c r="M29" i="7"/>
  <c r="E29" i="7"/>
  <c r="M28" i="7"/>
  <c r="E28" i="7"/>
  <c r="M27" i="7"/>
  <c r="E27" i="7"/>
  <c r="I23" i="7"/>
  <c r="I24" i="7"/>
  <c r="M25" i="7"/>
  <c r="E25" i="7"/>
  <c r="F25" i="7"/>
  <c r="F24" i="7"/>
  <c r="F23" i="7"/>
  <c r="M24" i="7"/>
  <c r="E24" i="7"/>
  <c r="M23" i="7"/>
  <c r="E23" i="7"/>
  <c r="M21" i="7"/>
  <c r="E21" i="7"/>
  <c r="M20" i="7"/>
  <c r="E20" i="7"/>
  <c r="M18" i="7"/>
  <c r="E18" i="7"/>
  <c r="L17" i="7"/>
  <c r="L7" i="7"/>
  <c r="L12" i="7"/>
  <c r="M12" i="7"/>
  <c r="I12" i="7"/>
  <c r="E12" i="7"/>
  <c r="F12" i="7"/>
  <c r="L10" i="7"/>
  <c r="M10" i="7"/>
  <c r="I10" i="7"/>
  <c r="E10" i="7"/>
  <c r="F10" i="7"/>
  <c r="E6" i="7"/>
  <c r="E7" i="7"/>
  <c r="F7" i="7"/>
  <c r="K6" i="7"/>
  <c r="L6" i="7"/>
  <c r="J6" i="7"/>
  <c r="G6" i="7"/>
  <c r="H6" i="7"/>
  <c r="F6" i="7"/>
  <c r="F5" i="7"/>
  <c r="H33" i="1"/>
  <c r="I33" i="1"/>
  <c r="J33" i="1"/>
  <c r="M6" i="7"/>
  <c r="H7" i="6"/>
  <c r="H12" i="6"/>
  <c r="I7" i="6"/>
  <c r="I12" i="6"/>
  <c r="J7" i="6"/>
  <c r="J12" i="6"/>
  <c r="H10" i="6"/>
  <c r="I10" i="6"/>
  <c r="J10" i="6"/>
  <c r="L23" i="7"/>
  <c r="I52" i="7"/>
  <c r="M52" i="7"/>
  <c r="I53" i="7"/>
  <c r="M53" i="7"/>
  <c r="I54" i="7"/>
  <c r="M54" i="7"/>
  <c r="I55" i="7"/>
  <c r="M55" i="7"/>
  <c r="I56" i="7"/>
  <c r="M56" i="7"/>
  <c r="I57" i="7"/>
  <c r="M57" i="7"/>
  <c r="I58" i="7"/>
  <c r="M58" i="7"/>
  <c r="I60" i="7"/>
  <c r="M60" i="7"/>
  <c r="I61" i="7"/>
  <c r="M61" i="7"/>
  <c r="I63" i="7"/>
  <c r="M63" i="7"/>
  <c r="I64" i="7"/>
  <c r="M64" i="7"/>
  <c r="F65" i="7"/>
  <c r="G65" i="7"/>
  <c r="H65" i="7"/>
  <c r="I65" i="7"/>
  <c r="M65" i="7"/>
  <c r="I66" i="7"/>
  <c r="M66" i="7"/>
  <c r="M67" i="7"/>
  <c r="M68" i="7"/>
  <c r="I69" i="7"/>
  <c r="M69" i="7"/>
  <c r="I70" i="7"/>
  <c r="L24" i="7"/>
  <c r="L25" i="7"/>
  <c r="I51" i="7"/>
  <c r="M51" i="7"/>
  <c r="I47" i="7"/>
  <c r="I48" i="7"/>
  <c r="M48" i="7"/>
  <c r="I49" i="7"/>
  <c r="M49" i="7"/>
  <c r="I44" i="7"/>
  <c r="M44" i="7"/>
  <c r="I43" i="7"/>
  <c r="M43" i="7"/>
  <c r="I42" i="7"/>
  <c r="M42" i="7"/>
  <c r="I41" i="7"/>
  <c r="M41" i="7"/>
  <c r="I36" i="7"/>
  <c r="M36" i="7"/>
  <c r="M37" i="7"/>
  <c r="I38" i="7"/>
  <c r="M38" i="7"/>
  <c r="I39" i="7"/>
  <c r="M39" i="7"/>
  <c r="I35" i="7"/>
  <c r="M35" i="7"/>
  <c r="M40" i="7"/>
  <c r="I40" i="7"/>
  <c r="E21" i="6"/>
  <c r="E20" i="6"/>
  <c r="O17" i="1"/>
  <c r="O16" i="1"/>
  <c r="G41" i="6"/>
  <c r="H41" i="6"/>
  <c r="I41" i="6"/>
  <c r="J41" i="6"/>
  <c r="G42" i="6"/>
  <c r="H42" i="6"/>
  <c r="I42" i="6"/>
  <c r="J42" i="6"/>
  <c r="G38" i="6"/>
  <c r="H38" i="6"/>
  <c r="I38" i="6"/>
  <c r="J38" i="6"/>
  <c r="J32" i="1"/>
  <c r="K32" i="1"/>
  <c r="L32" i="1"/>
  <c r="M32" i="1"/>
  <c r="N32" i="1"/>
  <c r="O32" i="1"/>
  <c r="O33" i="1"/>
  <c r="E33" i="1"/>
  <c r="E32" i="1"/>
  <c r="J34" i="1"/>
  <c r="O34" i="1"/>
  <c r="E34" i="1"/>
  <c r="K33" i="1"/>
  <c r="K34" i="1"/>
  <c r="L33" i="1"/>
  <c r="L34" i="1"/>
  <c r="M33" i="1"/>
  <c r="M34" i="1"/>
  <c r="N33" i="1"/>
  <c r="N34" i="1"/>
  <c r="H34" i="1"/>
  <c r="I34" i="1"/>
  <c r="G3" i="6"/>
  <c r="H3" i="6"/>
  <c r="I3" i="6"/>
  <c r="J3" i="6"/>
  <c r="I6" i="7"/>
  <c r="E7" i="6"/>
  <c r="E38" i="6"/>
  <c r="F38" i="6"/>
  <c r="E41" i="6"/>
  <c r="E42" i="6"/>
  <c r="F42" i="6"/>
  <c r="F41" i="6"/>
  <c r="E10" i="6"/>
  <c r="E12" i="6"/>
</calcChain>
</file>

<file path=xl/sharedStrings.xml><?xml version="1.0" encoding="utf-8"?>
<sst xmlns="http://schemas.openxmlformats.org/spreadsheetml/2006/main" count="166" uniqueCount="111">
  <si>
    <t xml:space="preserve">Construct Processing Facility Building </t>
    <phoneticPr fontId="43" type="noConversion"/>
  </si>
  <si>
    <t>Vehicle Leasing</t>
    <phoneticPr fontId="43" type="noConversion"/>
  </si>
  <si>
    <t>Office Equipment &amp; Supplies</t>
    <phoneticPr fontId="43" type="noConversion"/>
  </si>
  <si>
    <t>Monthly Output (tons) Ore</t>
  </si>
  <si>
    <t>Operating Expenses</t>
  </si>
  <si>
    <t>Management Draws</t>
  </si>
  <si>
    <t>Operating Crew Salaries and Overheads</t>
  </si>
  <si>
    <t>Land and Buildings</t>
  </si>
  <si>
    <t>Mining/Extraction/Refining Equipment</t>
  </si>
  <si>
    <t>Lease Excavation and Trucking Equipment</t>
  </si>
  <si>
    <t>Purchase/Install Extraction and Refining Equipment</t>
  </si>
  <si>
    <t>Moving Expenses to Onsite Facility</t>
  </si>
  <si>
    <t>Accounting</t>
  </si>
  <si>
    <t>Legal</t>
  </si>
  <si>
    <t>Administrative personnel Salaries and Overheads</t>
  </si>
  <si>
    <t>Security</t>
  </si>
  <si>
    <t>Insurance</t>
  </si>
  <si>
    <t>Net Monthly Cash Flow</t>
  </si>
  <si>
    <t>Operating Expense Total</t>
  </si>
  <si>
    <t>Purchase/Install Laboratory Equipment</t>
  </si>
  <si>
    <t>Fuel</t>
  </si>
  <si>
    <t>Chemicals</t>
  </si>
  <si>
    <t>Outside Chem Services</t>
  </si>
  <si>
    <t>Other Outside Services</t>
  </si>
  <si>
    <t>Misc Costs</t>
  </si>
  <si>
    <t>Cook</t>
  </si>
  <si>
    <t>Exploration and Claim Maintence</t>
  </si>
  <si>
    <t>Personnel Expenses (incl. payroll taxes)</t>
  </si>
  <si>
    <t>Security Personnel Salaries (incl payroll taxes)</t>
  </si>
  <si>
    <t>The following pro forma supplemental financial information is presented for informational purposes only, as an aid to conceptualizing the enterprise’s potential operating results under certain, limited circumstances. This pro forma information is not prepared in accordance with generally accepted accounting principles and should not be considered a substitute for the historical financial information presented in accordance with GAAP. The pro forma measures used by the company may be different from pro forma measures used by other companies.</t>
  </si>
  <si>
    <t>Variables</t>
  </si>
  <si>
    <t>Factor</t>
  </si>
  <si>
    <t>Operating Cost Total</t>
  </si>
  <si>
    <t>Net Operating Revenue</t>
  </si>
  <si>
    <t>Cash Distribution</t>
  </si>
  <si>
    <t>Daily output (tons)    Increasing/Quarter Au</t>
  </si>
  <si>
    <t>2 Year Total</t>
  </si>
  <si>
    <t>AGE</t>
  </si>
  <si>
    <t>Misc Costs</t>
    <phoneticPr fontId="43" type="noConversion"/>
  </si>
  <si>
    <t>Contracted Chemical Leaching Firm</t>
    <phoneticPr fontId="43" type="noConversion"/>
  </si>
  <si>
    <t>Poker Game Mines 5-Year Financial Forecast</t>
  </si>
  <si>
    <t>Operating Days per Month</t>
  </si>
  <si>
    <t>Production - Leach Plant</t>
    <phoneticPr fontId="43" type="noConversion"/>
  </si>
  <si>
    <t>Security Fencing</t>
    <phoneticPr fontId="43" type="noConversion"/>
  </si>
  <si>
    <t>Security Equpiment/Internet</t>
    <phoneticPr fontId="43" type="noConversion"/>
  </si>
  <si>
    <r>
      <t xml:space="preserve">Gross Revenue from </t>
    </r>
    <r>
      <rPr>
        <sz val="10"/>
        <color indexed="8"/>
        <rFont val="Arial"/>
        <family val="2"/>
      </rPr>
      <t>Gravity Separation Operations</t>
    </r>
    <phoneticPr fontId="43" type="noConversion"/>
  </si>
  <si>
    <t>Gross Leach Revenue, Au</t>
    <phoneticPr fontId="43" type="noConversion"/>
  </si>
  <si>
    <t>5-Year Total</t>
  </si>
  <si>
    <t xml:space="preserve"> </t>
    <phoneticPr fontId="43" type="noConversion"/>
  </si>
  <si>
    <t>Purchase/Install Crushing Equipment</t>
    <phoneticPr fontId="43" type="noConversion"/>
  </si>
  <si>
    <t>Purchase/Install Gravity Recovery Plant</t>
    <phoneticPr fontId="43" type="noConversion"/>
  </si>
  <si>
    <t>Food/Water Per Diem</t>
    <phoneticPr fontId="43" type="noConversion"/>
  </si>
  <si>
    <t>Temp Housing/Facilities</t>
    <phoneticPr fontId="43" type="noConversion"/>
  </si>
  <si>
    <t>Administrative/Misc Expenses</t>
    <phoneticPr fontId="43" type="noConversion"/>
  </si>
  <si>
    <t>Production - Gravity Separation Plant</t>
    <phoneticPr fontId="43" type="noConversion"/>
  </si>
  <si>
    <t>Onsite Chemist / Foreman Salaries and Overheads</t>
    <phoneticPr fontId="43" type="noConversion"/>
  </si>
  <si>
    <t>Partner</t>
  </si>
  <si>
    <t>Contingency</t>
  </si>
  <si>
    <t>Purchase Private Property</t>
    <phoneticPr fontId="43" type="noConversion"/>
  </si>
  <si>
    <t>Poker Game Mines Quarterly Financial Forecast Years 1 and 2 From Leaching and Gravity Separation Systems</t>
  </si>
  <si>
    <t xml:space="preserve">Operating Days per Month </t>
  </si>
  <si>
    <t>Au Price / oz*</t>
  </si>
  <si>
    <t>Ag Price / oz*</t>
  </si>
  <si>
    <t>Grade - Au oz per ton</t>
  </si>
  <si>
    <t>Grade - Ag oz per ton</t>
  </si>
  <si>
    <t xml:space="preserve">Ounces Au total </t>
  </si>
  <si>
    <t>Ounces total Ag</t>
  </si>
  <si>
    <t>Gross Leach Revenue, Ag</t>
  </si>
  <si>
    <t>Gross  Revenue Gravity Sep., Au</t>
  </si>
  <si>
    <t>Gross  Revenue Gravity Sep., Ag</t>
  </si>
  <si>
    <r>
      <t xml:space="preserve">Gross Revenue from </t>
    </r>
    <r>
      <rPr>
        <sz val="10"/>
        <color indexed="8"/>
        <rFont val="Arial"/>
        <family val="2"/>
      </rPr>
      <t>Leach Operations</t>
    </r>
  </si>
  <si>
    <t xml:space="preserve">Revenues </t>
  </si>
  <si>
    <t>Gross  Revenues</t>
  </si>
  <si>
    <t>1Q2020</t>
  </si>
  <si>
    <t>2Q2020</t>
  </si>
  <si>
    <t>3Q2020</t>
  </si>
  <si>
    <t>4Q2020</t>
  </si>
  <si>
    <t>2020 Total</t>
  </si>
  <si>
    <t>Contingency (15%)</t>
  </si>
  <si>
    <t xml:space="preserve">Daily output (tons)    Increasing/Quarter </t>
  </si>
  <si>
    <t xml:space="preserve"> Au total oz.</t>
  </si>
  <si>
    <t xml:space="preserve"> Ag total oz.</t>
  </si>
  <si>
    <t xml:space="preserve"> Au total Oz.</t>
  </si>
  <si>
    <t xml:space="preserve"> Ag total Oz.</t>
  </si>
  <si>
    <t>Operating Expenses ( 5% / Yr.)</t>
  </si>
  <si>
    <t xml:space="preserve">Total Ag Oz. </t>
  </si>
  <si>
    <t xml:space="preserve">Operating Days </t>
  </si>
  <si>
    <t>Output (tons) Ore</t>
  </si>
  <si>
    <t xml:space="preserve">Daily output (tons)   </t>
  </si>
  <si>
    <t xml:space="preserve"> Output (tons) Ore</t>
  </si>
  <si>
    <t>Output (tons)   / day</t>
  </si>
  <si>
    <t xml:space="preserve">Daily output (tons)  </t>
  </si>
  <si>
    <t>Total Revenue</t>
  </si>
  <si>
    <t>Recovery Rate %</t>
  </si>
  <si>
    <t>Recovery Rate 90%</t>
  </si>
  <si>
    <t>Recovery Rate 42%</t>
  </si>
  <si>
    <t>Bond &amp; Permiting</t>
  </si>
  <si>
    <t>Poker Game Mine One Year Cash Flow Leaching and Plus Gravity Separation Plant</t>
  </si>
  <si>
    <t xml:space="preserve">Recovery Rate </t>
  </si>
  <si>
    <t>1Q2021</t>
  </si>
  <si>
    <t>2Q2021</t>
  </si>
  <si>
    <t>3Q2021</t>
  </si>
  <si>
    <t>4Q2021</t>
  </si>
  <si>
    <t>2021 Total</t>
  </si>
  <si>
    <t>Total 2020</t>
  </si>
  <si>
    <t>Q3-2020</t>
  </si>
  <si>
    <t>Q4-2020</t>
  </si>
  <si>
    <t>Gross Revenue from Gravity Separation Operations</t>
  </si>
  <si>
    <t>Gross Revenue from Leach Operations</t>
  </si>
  <si>
    <t>Net Revenue</t>
  </si>
  <si>
    <t>Cost /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</si>
</sst>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quot;$&quot;#,##0"/>
    <numFmt numFmtId="165" formatCode="&quot;$&quot;#,##0;&quot;$&quot;\(#,##0\)"/>
    <numFmt numFmtId="166" formatCode="&quot;$&quot;#,##0.00"/>
    <numFmt numFmtId="167" formatCode="0.000"/>
    <numFmt numFmtId="168" formatCode="_(* #,##0.0_);_(* \(#,##0.0\);_(* &quot;-&quot;?_);_(@_)"/>
    <numFmt numFmtId="169" formatCode="_(* #,##0_);_(* \(#,##0\);_(* &quot;-&quot;?_);_(@_)"/>
    <numFmt numFmtId="170" formatCode="_(* #,##0_);_(* \(#,##0\);_(* &quot;-&quot;??_);_(@_)"/>
    <numFmt numFmtId="171" formatCode="_(&quot;$&quot;* #,##0_);_(&quot;$&quot;* \(#,##0\);_(&quot;$&quot;* &quot;-&quot;??_);_(@_)"/>
  </numFmts>
  <fonts count="53" x14ac:knownFonts="1">
    <font>
      <sz val="10"/>
      <color indexed="8"/>
      <name val="Arial"/>
    </font>
    <font>
      <sz val="11"/>
      <color indexed="8"/>
      <name val="Calibri"/>
      <family val="2"/>
    </font>
    <font>
      <sz val="10"/>
      <color indexed="8"/>
      <name val="Arial"/>
      <family val="2"/>
    </font>
    <font>
      <b/>
      <sz val="10"/>
      <color indexed="8"/>
      <name val="Arial"/>
      <family val="2"/>
    </font>
    <font>
      <sz val="10"/>
      <color indexed="8"/>
      <name val="Arial"/>
      <family val="2"/>
    </font>
    <font>
      <b/>
      <sz val="10"/>
      <color indexed="8"/>
      <name val="Arial"/>
      <family val="2"/>
    </font>
    <font>
      <sz val="10"/>
      <color indexed="8"/>
      <name val="Arial"/>
      <family val="2"/>
    </font>
    <font>
      <i/>
      <sz val="10"/>
      <color indexed="8"/>
      <name val="Arial"/>
      <family val="2"/>
    </font>
    <font>
      <sz val="10"/>
      <color indexed="8"/>
      <name val="Arial"/>
      <family val="2"/>
    </font>
    <font>
      <sz val="10"/>
      <color indexed="8"/>
      <name val="Arial"/>
      <family val="2"/>
    </font>
    <font>
      <sz val="10"/>
      <color indexed="8"/>
      <name val="Arial"/>
      <family val="2"/>
    </font>
    <font>
      <b/>
      <sz val="10"/>
      <color indexed="8"/>
      <name val="Arial"/>
      <family val="2"/>
    </font>
    <font>
      <sz val="10"/>
      <color indexed="8"/>
      <name val="Arial"/>
      <family val="2"/>
    </font>
    <font>
      <sz val="10"/>
      <color indexed="8"/>
      <name val="Arial"/>
      <family val="2"/>
    </font>
    <font>
      <sz val="10"/>
      <color indexed="8"/>
      <name val="Arial"/>
      <family val="2"/>
    </font>
    <font>
      <b/>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b/>
      <sz val="10"/>
      <color indexed="8"/>
      <name val="Arial"/>
      <family val="2"/>
    </font>
    <font>
      <sz val="10"/>
      <color indexed="8"/>
      <name val="Arial"/>
      <family val="2"/>
    </font>
    <font>
      <b/>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b/>
      <sz val="14"/>
      <color indexed="12"/>
      <name val="Arial"/>
      <family val="2"/>
    </font>
    <font>
      <sz val="10"/>
      <color indexed="8"/>
      <name val="Arial"/>
      <family val="2"/>
    </font>
    <font>
      <sz val="10"/>
      <color indexed="8"/>
      <name val="Arial"/>
      <family val="2"/>
    </font>
    <font>
      <sz val="10"/>
      <color indexed="8"/>
      <name val="Arial"/>
      <family val="2"/>
    </font>
    <font>
      <sz val="10"/>
      <color indexed="8"/>
      <name val="Arial"/>
      <family val="2"/>
    </font>
    <font>
      <b/>
      <sz val="10"/>
      <color indexed="8"/>
      <name val="Arial"/>
      <family val="2"/>
    </font>
    <font>
      <b/>
      <sz val="18"/>
      <color indexed="56"/>
      <name val="Cambria"/>
      <family val="2"/>
    </font>
    <font>
      <b/>
      <sz val="10"/>
      <color indexed="8"/>
      <name val="Arial"/>
      <family val="2"/>
    </font>
    <font>
      <sz val="10"/>
      <color indexed="8"/>
      <name val="Arial"/>
      <family val="2"/>
    </font>
    <font>
      <i/>
      <sz val="10"/>
      <color indexed="8"/>
      <name val="Arial"/>
      <family val="2"/>
    </font>
    <font>
      <b/>
      <sz val="14"/>
      <color indexed="12"/>
      <name val="Arial"/>
      <family val="2"/>
    </font>
    <font>
      <sz val="8"/>
      <name val="Arial"/>
      <family val="2"/>
    </font>
    <font>
      <i/>
      <sz val="9"/>
      <color indexed="8"/>
      <name val="Arial"/>
      <family val="2"/>
    </font>
    <font>
      <b/>
      <u/>
      <sz val="10"/>
      <color indexed="8"/>
      <name val="Arial"/>
      <family val="2"/>
    </font>
    <font>
      <b/>
      <sz val="12"/>
      <color indexed="12"/>
      <name val="Arial"/>
      <family val="2"/>
    </font>
    <font>
      <sz val="10"/>
      <color indexed="8"/>
      <name val="Arial"/>
      <family val="2"/>
    </font>
    <font>
      <b/>
      <sz val="9"/>
      <color indexed="12"/>
      <name val="Arial"/>
      <family val="2"/>
    </font>
    <font>
      <sz val="9"/>
      <color indexed="8"/>
      <name val="Arial"/>
      <family val="2"/>
    </font>
    <font>
      <b/>
      <sz val="9"/>
      <color indexed="8"/>
      <name val="Arial"/>
      <family val="2"/>
    </font>
    <font>
      <b/>
      <i/>
      <sz val="9"/>
      <color indexed="8"/>
      <name val="Arial"/>
      <family val="2"/>
    </font>
    <font>
      <sz val="10"/>
      <color indexed="8"/>
      <name val="Arial"/>
      <family val="2"/>
    </font>
  </fonts>
  <fills count="3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medium">
        <color indexed="64"/>
      </right>
      <top/>
      <bottom/>
      <diagonal/>
    </border>
  </borders>
  <cellStyleXfs count="44">
    <xf numFmtId="0" fontId="0"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7" borderId="0" applyNumberFormat="0" applyBorder="0" applyAlignment="0" applyProtection="0"/>
    <xf numFmtId="0" fontId="2" fillId="24" borderId="44" applyNumberFormat="0" applyAlignment="0" applyProtection="0"/>
    <xf numFmtId="0" fontId="2" fillId="25" borderId="45" applyNumberFormat="0" applyAlignment="0" applyProtection="0"/>
    <xf numFmtId="0" fontId="2" fillId="0" borderId="0" applyNumberFormat="0" applyFill="0" applyBorder="0" applyAlignment="0" applyProtection="0"/>
    <xf numFmtId="0" fontId="2" fillId="8" borderId="0" applyNumberFormat="0" applyBorder="0" applyAlignment="0" applyProtection="0"/>
    <xf numFmtId="0" fontId="2" fillId="0" borderId="46" applyNumberFormat="0" applyFill="0" applyAlignment="0" applyProtection="0"/>
    <xf numFmtId="0" fontId="2" fillId="0" borderId="47" applyNumberFormat="0" applyFill="0" applyAlignment="0" applyProtection="0"/>
    <xf numFmtId="0" fontId="2" fillId="0" borderId="48" applyNumberFormat="0" applyFill="0" applyAlignment="0" applyProtection="0"/>
    <xf numFmtId="0" fontId="2" fillId="0" borderId="0" applyNumberFormat="0" applyFill="0" applyBorder="0" applyAlignment="0" applyProtection="0"/>
    <xf numFmtId="0" fontId="2" fillId="11" borderId="44" applyNumberFormat="0" applyAlignment="0" applyProtection="0"/>
    <xf numFmtId="0" fontId="2" fillId="0" borderId="49" applyNumberFormat="0" applyFill="0" applyAlignment="0" applyProtection="0"/>
    <xf numFmtId="0" fontId="2" fillId="26" borderId="0" applyNumberFormat="0" applyBorder="0" applyAlignment="0" applyProtection="0"/>
    <xf numFmtId="0" fontId="2" fillId="27" borderId="50" applyNumberFormat="0" applyFont="0" applyAlignment="0" applyProtection="0"/>
    <xf numFmtId="0" fontId="2" fillId="24" borderId="51" applyNumberFormat="0" applyAlignment="0" applyProtection="0"/>
    <xf numFmtId="0" fontId="38" fillId="0" borderId="0" applyNumberFormat="0" applyFill="0" applyBorder="0" applyAlignment="0" applyProtection="0"/>
    <xf numFmtId="0" fontId="2" fillId="0" borderId="52" applyNumberFormat="0" applyFill="0" applyAlignment="0" applyProtection="0"/>
    <xf numFmtId="0" fontId="2" fillId="0" borderId="0" applyNumberFormat="0" applyFill="0" applyBorder="0" applyAlignment="0" applyProtection="0"/>
    <xf numFmtId="43" fontId="2" fillId="0" borderId="0" applyFont="0" applyFill="0" applyBorder="0" applyAlignment="0" applyProtection="0"/>
    <xf numFmtId="9" fontId="52" fillId="0" borderId="0" applyFont="0" applyFill="0" applyBorder="0" applyAlignment="0" applyProtection="0"/>
  </cellStyleXfs>
  <cellXfs count="444">
    <xf numFmtId="0" fontId="0" fillId="0" borderId="0" xfId="0" applyAlignment="1">
      <alignment wrapText="1"/>
    </xf>
    <xf numFmtId="0" fontId="8" fillId="0" borderId="15" xfId="0" applyFont="1" applyBorder="1" applyAlignment="1">
      <alignment vertical="center"/>
    </xf>
    <xf numFmtId="0" fontId="0" fillId="0" borderId="21" xfId="0" applyBorder="1" applyAlignment="1">
      <alignment wrapText="1"/>
    </xf>
    <xf numFmtId="0" fontId="0" fillId="0" borderId="0" xfId="0" applyBorder="1" applyAlignment="1">
      <alignment wrapText="1"/>
    </xf>
    <xf numFmtId="0" fontId="0" fillId="0" borderId="15" xfId="0" applyBorder="1" applyAlignment="1">
      <alignment wrapText="1"/>
    </xf>
    <xf numFmtId="0" fontId="37" fillId="0" borderId="15" xfId="0" applyFont="1" applyBorder="1" applyAlignment="1">
      <alignment horizontal="left"/>
    </xf>
    <xf numFmtId="0" fontId="25" fillId="0" borderId="0" xfId="0" applyFont="1" applyBorder="1" applyAlignment="1">
      <alignment horizontal="left"/>
    </xf>
    <xf numFmtId="3" fontId="4" fillId="0" borderId="21" xfId="0" applyNumberFormat="1" applyFont="1" applyBorder="1" applyAlignment="1">
      <alignment horizontal="right" vertical="center"/>
    </xf>
    <xf numFmtId="0" fontId="0" fillId="0" borderId="3" xfId="0" applyBorder="1" applyAlignment="1">
      <alignment wrapText="1"/>
    </xf>
    <xf numFmtId="0" fontId="7" fillId="0" borderId="16" xfId="0" applyFont="1" applyBorder="1" applyAlignment="1">
      <alignment horizontal="center" vertical="center"/>
    </xf>
    <xf numFmtId="3" fontId="4" fillId="0" borderId="18" xfId="0" applyNumberFormat="1" applyFont="1" applyBorder="1" applyAlignment="1">
      <alignment horizontal="right" vertical="center"/>
    </xf>
    <xf numFmtId="3" fontId="4" fillId="0" borderId="16" xfId="0" applyNumberFormat="1" applyFont="1" applyBorder="1" applyAlignment="1">
      <alignment horizontal="right" vertical="center"/>
    </xf>
    <xf numFmtId="0" fontId="0" fillId="0" borderId="7" xfId="0" applyBorder="1" applyAlignment="1">
      <alignment wrapText="1"/>
    </xf>
    <xf numFmtId="3" fontId="4" fillId="0" borderId="19" xfId="0" applyNumberFormat="1" applyFont="1" applyBorder="1" applyAlignment="1">
      <alignment horizontal="right" vertical="center"/>
    </xf>
    <xf numFmtId="0" fontId="7" fillId="0" borderId="29" xfId="0" applyFont="1" applyBorder="1" applyAlignment="1">
      <alignment horizontal="center" vertical="center"/>
    </xf>
    <xf numFmtId="3" fontId="4" fillId="0" borderId="27" xfId="0" applyNumberFormat="1" applyFont="1" applyBorder="1" applyAlignment="1">
      <alignment horizontal="right"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5" fillId="0" borderId="7" xfId="0" applyFont="1" applyBorder="1" applyAlignment="1">
      <alignment horizontal="center"/>
    </xf>
    <xf numFmtId="3" fontId="4" fillId="0" borderId="6"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7" xfId="0" applyNumberFormat="1" applyFont="1" applyBorder="1" applyAlignment="1">
      <alignment horizontal="right" vertical="center"/>
    </xf>
    <xf numFmtId="0" fontId="37" fillId="0" borderId="23" xfId="0" applyFont="1" applyBorder="1" applyAlignment="1">
      <alignment horizontal="left"/>
    </xf>
    <xf numFmtId="0" fontId="7" fillId="0" borderId="24" xfId="0" applyFont="1" applyBorder="1" applyAlignment="1">
      <alignment horizontal="center" vertical="center"/>
    </xf>
    <xf numFmtId="0" fontId="23" fillId="0" borderId="31" xfId="0" applyFont="1" applyBorder="1" applyAlignment="1">
      <alignment horizontal="center" vertical="center"/>
    </xf>
    <xf numFmtId="17" fontId="11" fillId="0" borderId="8" xfId="0" applyNumberFormat="1" applyFont="1" applyBorder="1" applyAlignment="1">
      <alignment horizontal="center"/>
    </xf>
    <xf numFmtId="17" fontId="11" fillId="0" borderId="7" xfId="0" applyNumberFormat="1" applyFont="1" applyBorder="1" applyAlignment="1">
      <alignment horizontal="center"/>
    </xf>
    <xf numFmtId="17" fontId="11" fillId="0" borderId="11" xfId="0" applyNumberFormat="1" applyFont="1" applyBorder="1" applyAlignment="1">
      <alignment horizontal="center"/>
    </xf>
    <xf numFmtId="0" fontId="3" fillId="0" borderId="15" xfId="0" applyFont="1" applyBorder="1" applyAlignment="1">
      <alignment horizontal="left"/>
    </xf>
    <xf numFmtId="3" fontId="0" fillId="0" borderId="18" xfId="0" applyNumberFormat="1" applyFont="1" applyBorder="1" applyAlignment="1">
      <alignment horizontal="right" vertical="center"/>
    </xf>
    <xf numFmtId="3" fontId="0" fillId="0" borderId="6" xfId="0" applyNumberFormat="1" applyBorder="1" applyAlignment="1">
      <alignment wrapText="1"/>
    </xf>
    <xf numFmtId="3" fontId="0" fillId="0" borderId="21" xfId="0" applyNumberFormat="1" applyBorder="1" applyAlignment="1">
      <alignment wrapText="1"/>
    </xf>
    <xf numFmtId="3" fontId="0" fillId="0" borderId="16" xfId="0" applyNumberFormat="1" applyBorder="1" applyAlignment="1">
      <alignment wrapText="1"/>
    </xf>
    <xf numFmtId="3" fontId="0" fillId="0" borderId="8" xfId="0" applyNumberFormat="1" applyBorder="1" applyAlignment="1">
      <alignment wrapText="1"/>
    </xf>
    <xf numFmtId="3" fontId="0" fillId="0" borderId="7" xfId="0" applyNumberFormat="1" applyBorder="1" applyAlignment="1">
      <alignment wrapText="1"/>
    </xf>
    <xf numFmtId="3" fontId="15" fillId="0" borderId="33" xfId="0" applyNumberFormat="1" applyFont="1" applyBorder="1" applyAlignment="1">
      <alignment horizontal="right"/>
    </xf>
    <xf numFmtId="0" fontId="25" fillId="0" borderId="3" xfId="0" applyFont="1" applyBorder="1" applyAlignment="1">
      <alignment horizontal="right"/>
    </xf>
    <xf numFmtId="10" fontId="0" fillId="3" borderId="7" xfId="0" applyNumberFormat="1" applyFill="1" applyBorder="1" applyAlignment="1">
      <alignment horizontal="center" wrapText="1"/>
    </xf>
    <xf numFmtId="3" fontId="0" fillId="0" borderId="5" xfId="0" applyNumberFormat="1" applyBorder="1" applyAlignment="1">
      <alignment wrapText="1"/>
    </xf>
    <xf numFmtId="3" fontId="15" fillId="0" borderId="2" xfId="0" applyNumberFormat="1" applyFont="1" applyBorder="1" applyAlignment="1">
      <alignment horizontal="right"/>
    </xf>
    <xf numFmtId="17" fontId="11" fillId="0" borderId="10" xfId="0" applyNumberFormat="1" applyFont="1" applyBorder="1" applyAlignment="1">
      <alignment horizontal="center"/>
    </xf>
    <xf numFmtId="3" fontId="4" fillId="0" borderId="14" xfId="0" applyNumberFormat="1" applyFont="1" applyBorder="1" applyAlignment="1">
      <alignment horizontal="right" vertical="center"/>
    </xf>
    <xf numFmtId="3" fontId="4" fillId="0" borderId="20" xfId="0" applyNumberFormat="1" applyFont="1" applyBorder="1" applyAlignment="1">
      <alignment horizontal="right" vertical="center"/>
    </xf>
    <xf numFmtId="3" fontId="0" fillId="0" borderId="14" xfId="0" applyNumberFormat="1" applyBorder="1" applyAlignment="1">
      <alignment wrapText="1"/>
    </xf>
    <xf numFmtId="3" fontId="4" fillId="0" borderId="30" xfId="0" applyNumberFormat="1" applyFont="1" applyBorder="1" applyAlignment="1">
      <alignment horizontal="right" vertical="center"/>
    </xf>
    <xf numFmtId="3" fontId="0" fillId="0" borderId="20" xfId="0" applyNumberFormat="1" applyBorder="1" applyAlignment="1">
      <alignment wrapText="1"/>
    </xf>
    <xf numFmtId="3" fontId="15" fillId="0" borderId="34" xfId="0" applyNumberFormat="1" applyFont="1" applyBorder="1" applyAlignment="1">
      <alignment horizontal="right"/>
    </xf>
    <xf numFmtId="0" fontId="37" fillId="0" borderId="15" xfId="0" applyFont="1" applyBorder="1" applyAlignment="1">
      <alignment horizontal="left"/>
    </xf>
    <xf numFmtId="0" fontId="25" fillId="0" borderId="0" xfId="0" applyFont="1" applyBorder="1" applyAlignment="1">
      <alignment horizontal="left"/>
    </xf>
    <xf numFmtId="0" fontId="25" fillId="0" borderId="6" xfId="0" applyFont="1" applyBorder="1" applyAlignment="1">
      <alignment horizontal="left"/>
    </xf>
    <xf numFmtId="0" fontId="37" fillId="0" borderId="15" xfId="0" applyFont="1" applyBorder="1" applyAlignment="1">
      <alignment horizontal="left"/>
    </xf>
    <xf numFmtId="0" fontId="25" fillId="0" borderId="0" xfId="0" applyFont="1" applyBorder="1" applyAlignment="1">
      <alignment horizontal="left"/>
    </xf>
    <xf numFmtId="0" fontId="3" fillId="0" borderId="15" xfId="0" applyFont="1" applyBorder="1" applyAlignment="1">
      <alignment horizontal="left"/>
    </xf>
    <xf numFmtId="0" fontId="2" fillId="4" borderId="5" xfId="0" applyFont="1" applyFill="1" applyBorder="1" applyAlignment="1">
      <alignment horizontal="left"/>
    </xf>
    <xf numFmtId="0" fontId="0" fillId="4" borderId="16" xfId="0" applyFill="1" applyBorder="1" applyAlignment="1">
      <alignment horizontal="left"/>
    </xf>
    <xf numFmtId="0" fontId="23" fillId="0" borderId="6" xfId="0" applyFont="1" applyFill="1" applyBorder="1" applyAlignment="1">
      <alignment horizontal="center" vertical="center"/>
    </xf>
    <xf numFmtId="0" fontId="45" fillId="2" borderId="0" xfId="0" applyFont="1" applyFill="1" applyBorder="1" applyAlignment="1">
      <alignment horizontal="left"/>
    </xf>
    <xf numFmtId="0" fontId="25" fillId="2" borderId="0" xfId="0" applyFont="1" applyFill="1" applyBorder="1" applyAlignment="1">
      <alignment horizontal="left"/>
    </xf>
    <xf numFmtId="0" fontId="7" fillId="2" borderId="16" xfId="0" applyFont="1" applyFill="1" applyBorder="1" applyAlignment="1">
      <alignment horizontal="center" vertical="center"/>
    </xf>
    <xf numFmtId="3" fontId="4" fillId="2" borderId="18" xfId="0" applyNumberFormat="1" applyFont="1" applyFill="1" applyBorder="1" applyAlignment="1">
      <alignment horizontal="right" vertical="center"/>
    </xf>
    <xf numFmtId="3" fontId="4" fillId="2" borderId="19" xfId="0" applyNumberFormat="1" applyFont="1" applyFill="1" applyBorder="1" applyAlignment="1">
      <alignment horizontal="right" vertical="center"/>
    </xf>
    <xf numFmtId="3" fontId="4" fillId="2" borderId="20" xfId="0" applyNumberFormat="1" applyFont="1" applyFill="1" applyBorder="1" applyAlignment="1">
      <alignment horizontal="right" vertical="center"/>
    </xf>
    <xf numFmtId="3" fontId="4" fillId="2" borderId="21" xfId="0" applyNumberFormat="1" applyFont="1" applyFill="1" applyBorder="1" applyAlignment="1">
      <alignment horizontal="right" vertical="center"/>
    </xf>
    <xf numFmtId="3" fontId="4" fillId="2" borderId="16" xfId="0" applyNumberFormat="1" applyFont="1" applyFill="1" applyBorder="1" applyAlignment="1">
      <alignment horizontal="right" vertical="center"/>
    </xf>
    <xf numFmtId="0" fontId="7" fillId="2" borderId="21" xfId="0" applyFont="1" applyFill="1" applyBorder="1" applyAlignment="1">
      <alignment horizontal="center" vertical="center"/>
    </xf>
    <xf numFmtId="0" fontId="0" fillId="2" borderId="21" xfId="0" applyFill="1" applyBorder="1" applyAlignment="1">
      <alignment wrapText="1"/>
    </xf>
    <xf numFmtId="3" fontId="0" fillId="2" borderId="21" xfId="0" applyNumberFormat="1" applyFill="1" applyBorder="1" applyAlignment="1">
      <alignment wrapText="1"/>
    </xf>
    <xf numFmtId="3" fontId="0" fillId="2" borderId="16" xfId="0" applyNumberFormat="1" applyFill="1" applyBorder="1" applyAlignment="1">
      <alignment wrapText="1"/>
    </xf>
    <xf numFmtId="3" fontId="0" fillId="2" borderId="20" xfId="0" applyNumberFormat="1" applyFill="1" applyBorder="1" applyAlignment="1">
      <alignment wrapText="1"/>
    </xf>
    <xf numFmtId="41" fontId="21" fillId="0" borderId="21" xfId="0" applyNumberFormat="1" applyFont="1" applyFill="1" applyBorder="1" applyAlignment="1">
      <alignment vertical="center"/>
    </xf>
    <xf numFmtId="0" fontId="25" fillId="0" borderId="27" xfId="0" applyFont="1" applyBorder="1" applyAlignment="1">
      <alignment horizontal="left"/>
    </xf>
    <xf numFmtId="0" fontId="25" fillId="0" borderId="28" xfId="0" applyFont="1" applyBorder="1" applyAlignment="1">
      <alignment horizontal="left"/>
    </xf>
    <xf numFmtId="0" fontId="45" fillId="2" borderId="19" xfId="0" applyFont="1" applyFill="1" applyBorder="1" applyAlignment="1">
      <alignment horizontal="left"/>
    </xf>
    <xf numFmtId="0" fontId="25" fillId="2" borderId="18" xfId="0" applyFont="1" applyFill="1" applyBorder="1" applyAlignment="1">
      <alignment horizontal="left"/>
    </xf>
    <xf numFmtId="0" fontId="45" fillId="2" borderId="19" xfId="0" applyFont="1" applyFill="1" applyBorder="1" applyAlignment="1">
      <alignment wrapText="1"/>
    </xf>
    <xf numFmtId="0" fontId="0" fillId="2" borderId="18" xfId="0" applyFill="1" applyBorder="1" applyAlignment="1">
      <alignment wrapText="1"/>
    </xf>
    <xf numFmtId="3" fontId="2" fillId="0" borderId="6" xfId="0" applyNumberFormat="1" applyFont="1" applyBorder="1" applyAlignment="1">
      <alignment horizontal="right" vertical="center"/>
    </xf>
    <xf numFmtId="3" fontId="3" fillId="2" borderId="25" xfId="0" applyNumberFormat="1" applyFont="1" applyFill="1" applyBorder="1" applyAlignment="1">
      <alignment vertical="center"/>
    </xf>
    <xf numFmtId="0" fontId="0" fillId="0" borderId="8" xfId="0" applyBorder="1" applyAlignment="1">
      <alignment horizontal="left" vertical="center"/>
    </xf>
    <xf numFmtId="0" fontId="24" fillId="4" borderId="21" xfId="0" applyFont="1" applyFill="1" applyBorder="1" applyAlignment="1">
      <alignment horizontal="left"/>
    </xf>
    <xf numFmtId="0" fontId="3" fillId="0" borderId="21" xfId="0" applyFont="1" applyBorder="1" applyAlignment="1">
      <alignment horizontal="right" wrapText="1"/>
    </xf>
    <xf numFmtId="0" fontId="48" fillId="0" borderId="37" xfId="0" applyFont="1" applyBorder="1" applyAlignment="1">
      <alignment horizontal="center"/>
    </xf>
    <xf numFmtId="0" fontId="49" fillId="0" borderId="0" xfId="0" applyFont="1" applyBorder="1" applyAlignment="1">
      <alignment vertical="center"/>
    </xf>
    <xf numFmtId="0" fontId="49" fillId="0" borderId="0" xfId="0" applyFont="1" applyAlignment="1">
      <alignment vertical="center"/>
    </xf>
    <xf numFmtId="0" fontId="49" fillId="0" borderId="0" xfId="0" applyFont="1" applyAlignment="1">
      <alignment wrapText="1"/>
    </xf>
    <xf numFmtId="166" fontId="49" fillId="0" borderId="0" xfId="0" applyNumberFormat="1" applyFont="1" applyAlignment="1">
      <alignment wrapText="1"/>
    </xf>
    <xf numFmtId="164" fontId="49" fillId="0" borderId="0" xfId="0" applyNumberFormat="1" applyFont="1" applyAlignment="1">
      <alignment wrapText="1"/>
    </xf>
    <xf numFmtId="0" fontId="49" fillId="0" borderId="38" xfId="0" applyFont="1" applyBorder="1" applyAlignment="1">
      <alignment horizontal="center" vertical="center"/>
    </xf>
    <xf numFmtId="0" fontId="49" fillId="0" borderId="0" xfId="0" applyFont="1" applyAlignment="1">
      <alignment horizontal="center" vertical="center"/>
    </xf>
    <xf numFmtId="41" fontId="49" fillId="0" borderId="0" xfId="0" applyNumberFormat="1" applyFont="1" applyAlignment="1">
      <alignment vertical="center"/>
    </xf>
    <xf numFmtId="0" fontId="49" fillId="0" borderId="0" xfId="0" applyFont="1" applyBorder="1" applyAlignment="1">
      <alignment vertical="center"/>
    </xf>
    <xf numFmtId="0" fontId="49" fillId="0" borderId="21" xfId="0" applyFont="1" applyBorder="1" applyAlignment="1">
      <alignment vertical="center"/>
    </xf>
    <xf numFmtId="41" fontId="49" fillId="0" borderId="21" xfId="0" applyNumberFormat="1" applyFont="1" applyBorder="1" applyAlignment="1">
      <alignment horizontal="right"/>
    </xf>
    <xf numFmtId="41" fontId="50" fillId="0" borderId="21" xfId="0" applyNumberFormat="1" applyFont="1" applyBorder="1" applyAlignment="1">
      <alignment horizontal="right"/>
    </xf>
    <xf numFmtId="0" fontId="44" fillId="0" borderId="0" xfId="0" applyFont="1" applyAlignment="1">
      <alignment vertical="center"/>
    </xf>
    <xf numFmtId="0" fontId="49" fillId="0" borderId="0" xfId="0" applyFont="1" applyBorder="1" applyAlignment="1">
      <alignment wrapText="1"/>
    </xf>
    <xf numFmtId="0" fontId="44" fillId="0" borderId="0" xfId="0" applyFont="1" applyBorder="1" applyAlignment="1">
      <alignment vertical="center"/>
    </xf>
    <xf numFmtId="0" fontId="44" fillId="0" borderId="42" xfId="0" applyFont="1" applyBorder="1" applyAlignment="1">
      <alignment vertical="center"/>
    </xf>
    <xf numFmtId="169" fontId="13" fillId="0" borderId="21" xfId="0" applyNumberFormat="1" applyFont="1" applyFill="1" applyBorder="1" applyAlignment="1">
      <alignment wrapText="1"/>
    </xf>
    <xf numFmtId="0" fontId="19" fillId="3" borderId="21" xfId="0" applyFont="1" applyFill="1" applyBorder="1" applyAlignment="1">
      <alignment horizontal="center" vertical="center"/>
    </xf>
    <xf numFmtId="9" fontId="17" fillId="4" borderId="21" xfId="0" applyNumberFormat="1" applyFont="1" applyFill="1" applyBorder="1" applyAlignment="1">
      <alignment horizontal="center" vertical="center"/>
    </xf>
    <xf numFmtId="1" fontId="9" fillId="0" borderId="21" xfId="0" applyNumberFormat="1" applyFont="1" applyFill="1" applyBorder="1" applyAlignment="1">
      <alignment horizontal="center" vertical="center"/>
    </xf>
    <xf numFmtId="168" fontId="13" fillId="28" borderId="21" xfId="0" applyNumberFormat="1" applyFont="1" applyFill="1" applyBorder="1" applyAlignment="1">
      <alignment wrapText="1"/>
    </xf>
    <xf numFmtId="37" fontId="35" fillId="0" borderId="21" xfId="0" applyNumberFormat="1" applyFont="1" applyBorder="1" applyAlignment="1">
      <alignment horizontal="center" vertical="center"/>
    </xf>
    <xf numFmtId="41" fontId="6" fillId="4" borderId="21" xfId="0" applyNumberFormat="1" applyFont="1" applyFill="1" applyBorder="1" applyAlignment="1">
      <alignment wrapText="1"/>
    </xf>
    <xf numFmtId="4" fontId="36" fillId="3" borderId="21" xfId="0" applyNumberFormat="1" applyFont="1" applyFill="1" applyBorder="1" applyAlignment="1">
      <alignment horizontal="center" vertical="center"/>
    </xf>
    <xf numFmtId="167" fontId="16" fillId="0" borderId="21" xfId="0" applyNumberFormat="1" applyFont="1" applyFill="1" applyBorder="1"/>
    <xf numFmtId="9" fontId="2" fillId="0" borderId="21" xfId="0" applyNumberFormat="1" applyFont="1" applyFill="1" applyBorder="1"/>
    <xf numFmtId="0" fontId="23" fillId="0" borderId="21" xfId="0" applyFont="1" applyBorder="1" applyAlignment="1">
      <alignment horizontal="center" vertical="center"/>
    </xf>
    <xf numFmtId="9" fontId="33" fillId="3" borderId="21" xfId="0" applyNumberFormat="1" applyFont="1" applyFill="1" applyBorder="1" applyAlignment="1">
      <alignment horizontal="center" wrapText="1"/>
    </xf>
    <xf numFmtId="3" fontId="14" fillId="0" borderId="21" xfId="0" applyNumberFormat="1" applyFont="1" applyBorder="1" applyAlignment="1">
      <alignment horizontal="right"/>
    </xf>
    <xf numFmtId="10" fontId="33" fillId="3" borderId="21" xfId="0" applyNumberFormat="1" applyFont="1" applyFill="1" applyBorder="1" applyAlignment="1">
      <alignment horizontal="center" wrapText="1"/>
    </xf>
    <xf numFmtId="1" fontId="16" fillId="0" borderId="21" xfId="0" applyNumberFormat="1" applyFont="1" applyFill="1" applyBorder="1"/>
    <xf numFmtId="41" fontId="6" fillId="28" borderId="21" xfId="0" applyNumberFormat="1" applyFont="1" applyFill="1" applyBorder="1" applyAlignment="1">
      <alignment wrapText="1"/>
    </xf>
    <xf numFmtId="170" fontId="21" fillId="0" borderId="21" xfId="42" applyNumberFormat="1" applyFont="1" applyFill="1" applyBorder="1" applyAlignment="1">
      <alignment vertical="center"/>
    </xf>
    <xf numFmtId="170" fontId="6" fillId="4" borderId="21" xfId="42" applyNumberFormat="1" applyFont="1" applyFill="1" applyBorder="1" applyAlignment="1">
      <alignment wrapText="1"/>
    </xf>
    <xf numFmtId="170" fontId="16" fillId="0" borderId="21" xfId="42" applyNumberFormat="1" applyFont="1" applyFill="1" applyBorder="1"/>
    <xf numFmtId="170" fontId="2" fillId="0" borderId="21" xfId="42" applyNumberFormat="1" applyFont="1" applyFill="1" applyBorder="1"/>
    <xf numFmtId="170" fontId="14" fillId="0" borderId="21" xfId="42" applyNumberFormat="1" applyFont="1" applyBorder="1" applyAlignment="1">
      <alignment horizontal="right"/>
    </xf>
    <xf numFmtId="164" fontId="10" fillId="3" borderId="21" xfId="0" applyNumberFormat="1" applyFont="1" applyFill="1" applyBorder="1" applyAlignment="1">
      <alignment horizontal="center"/>
    </xf>
    <xf numFmtId="41" fontId="21" fillId="28" borderId="21" xfId="0" applyNumberFormat="1" applyFont="1" applyFill="1" applyBorder="1" applyAlignment="1">
      <alignment vertical="center"/>
    </xf>
    <xf numFmtId="3" fontId="30" fillId="28" borderId="21" xfId="0" applyNumberFormat="1" applyFont="1" applyFill="1" applyBorder="1" applyAlignment="1">
      <alignment horizontal="right"/>
    </xf>
    <xf numFmtId="0" fontId="47" fillId="0" borderId="21" xfId="0" applyFont="1" applyBorder="1" applyAlignment="1">
      <alignment wrapText="1"/>
    </xf>
    <xf numFmtId="0" fontId="24" fillId="4" borderId="21" xfId="0" applyFont="1" applyFill="1" applyBorder="1" applyAlignment="1">
      <alignment horizontal="left"/>
    </xf>
    <xf numFmtId="0" fontId="2" fillId="4" borderId="16" xfId="0" applyFont="1" applyFill="1" applyBorder="1" applyAlignment="1">
      <alignment horizontal="left"/>
    </xf>
    <xf numFmtId="170" fontId="0" fillId="0" borderId="21" xfId="42" applyNumberFormat="1" applyFont="1" applyBorder="1" applyAlignment="1">
      <alignment wrapText="1"/>
    </xf>
    <xf numFmtId="0" fontId="3" fillId="0" borderId="0" xfId="0" applyFont="1" applyAlignment="1">
      <alignment horizontal="right" wrapText="1"/>
    </xf>
    <xf numFmtId="0" fontId="34" fillId="0" borderId="7" xfId="0" applyFont="1" applyBorder="1" applyAlignment="1">
      <alignment horizontal="left" vertical="center"/>
    </xf>
    <xf numFmtId="0" fontId="24" fillId="4" borderId="7" xfId="0" applyFont="1" applyFill="1" applyBorder="1" applyAlignment="1">
      <alignment horizontal="left"/>
    </xf>
    <xf numFmtId="3" fontId="2" fillId="0" borderId="21" xfId="0" applyNumberFormat="1" applyFont="1" applyBorder="1" applyAlignment="1">
      <alignment horizontal="right"/>
    </xf>
    <xf numFmtId="3" fontId="22" fillId="0" borderId="21" xfId="0" applyNumberFormat="1" applyFont="1" applyBorder="1" applyAlignment="1">
      <alignment vertical="center"/>
    </xf>
    <xf numFmtId="41" fontId="3" fillId="0" borderId="13" xfId="0" applyNumberFormat="1" applyFont="1" applyFill="1" applyBorder="1" applyAlignment="1">
      <alignment wrapText="1"/>
    </xf>
    <xf numFmtId="3" fontId="0" fillId="28" borderId="16" xfId="0" applyNumberFormat="1" applyFill="1" applyBorder="1" applyAlignment="1">
      <alignment wrapText="1"/>
    </xf>
    <xf numFmtId="3" fontId="0" fillId="28" borderId="21" xfId="0" applyNumberFormat="1" applyFill="1" applyBorder="1" applyAlignment="1">
      <alignment wrapText="1"/>
    </xf>
    <xf numFmtId="41" fontId="3" fillId="30" borderId="13" xfId="0" applyNumberFormat="1" applyFont="1" applyFill="1" applyBorder="1" applyAlignment="1">
      <alignment wrapText="1"/>
    </xf>
    <xf numFmtId="0" fontId="3" fillId="30" borderId="4" xfId="0" applyFont="1" applyFill="1" applyBorder="1" applyAlignment="1">
      <alignment horizontal="center"/>
    </xf>
    <xf numFmtId="9" fontId="17" fillId="4" borderId="18"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37" fontId="35" fillId="0" borderId="18" xfId="0" applyNumberFormat="1" applyFont="1" applyBorder="1" applyAlignment="1">
      <alignment horizontal="center" vertical="center"/>
    </xf>
    <xf numFmtId="4" fontId="36" fillId="3" borderId="18" xfId="0" applyNumberFormat="1" applyFont="1" applyFill="1" applyBorder="1" applyAlignment="1">
      <alignment horizontal="center" vertical="center"/>
    </xf>
    <xf numFmtId="0" fontId="0" fillId="0" borderId="18" xfId="0" applyBorder="1" applyAlignment="1">
      <alignment wrapText="1"/>
    </xf>
    <xf numFmtId="0" fontId="19" fillId="3" borderId="18" xfId="0" applyFont="1" applyFill="1" applyBorder="1" applyAlignment="1">
      <alignment horizontal="center" vertical="center"/>
    </xf>
    <xf numFmtId="0" fontId="23" fillId="0" borderId="18" xfId="0" applyFont="1" applyBorder="1" applyAlignment="1">
      <alignment horizontal="center" vertical="center"/>
    </xf>
    <xf numFmtId="9" fontId="33" fillId="3" borderId="18" xfId="0" applyNumberFormat="1" applyFont="1" applyFill="1" applyBorder="1" applyAlignment="1">
      <alignment horizontal="center" wrapText="1"/>
    </xf>
    <xf numFmtId="10" fontId="33" fillId="3" borderId="18" xfId="0" applyNumberFormat="1" applyFont="1" applyFill="1" applyBorder="1" applyAlignment="1">
      <alignment horizontal="center" wrapText="1"/>
    </xf>
    <xf numFmtId="9" fontId="17" fillId="4" borderId="19" xfId="0" applyNumberFormat="1" applyFont="1" applyFill="1" applyBorder="1" applyAlignment="1">
      <alignment horizontal="center" vertical="center"/>
    </xf>
    <xf numFmtId="41" fontId="35" fillId="0" borderId="19" xfId="0" applyNumberFormat="1" applyFont="1" applyBorder="1" applyAlignment="1">
      <alignment horizontal="center" vertical="center"/>
    </xf>
    <xf numFmtId="0" fontId="23" fillId="0" borderId="19" xfId="0" applyFont="1" applyBorder="1" applyAlignment="1">
      <alignment horizontal="center" vertical="center"/>
    </xf>
    <xf numFmtId="41" fontId="27" fillId="0" borderId="21" xfId="0" applyNumberFormat="1" applyFont="1" applyBorder="1"/>
    <xf numFmtId="0" fontId="8" fillId="0" borderId="21" xfId="0" applyFont="1" applyBorder="1" applyAlignment="1">
      <alignment vertical="center"/>
    </xf>
    <xf numFmtId="0" fontId="47" fillId="0" borderId="21" xfId="0" applyFont="1" applyBorder="1" applyAlignment="1">
      <alignment horizontal="center" wrapText="1"/>
    </xf>
    <xf numFmtId="0" fontId="29" fillId="0" borderId="21" xfId="0" applyFont="1" applyBorder="1" applyAlignment="1">
      <alignment wrapText="1"/>
    </xf>
    <xf numFmtId="0" fontId="47" fillId="0" borderId="21" xfId="0" applyFont="1" applyBorder="1" applyAlignment="1">
      <alignment horizontal="left"/>
    </xf>
    <xf numFmtId="0" fontId="2" fillId="0" borderId="21" xfId="0" applyFont="1" applyBorder="1" applyAlignment="1">
      <alignment horizontal="center" wrapText="1"/>
    </xf>
    <xf numFmtId="0" fontId="40" fillId="0" borderId="21" xfId="0" applyFont="1" applyBorder="1" applyAlignment="1">
      <alignment horizontal="left"/>
    </xf>
    <xf numFmtId="0" fontId="40" fillId="0" borderId="21" xfId="0" applyFont="1" applyBorder="1" applyAlignment="1"/>
    <xf numFmtId="0" fontId="40" fillId="0" borderId="21" xfId="0" applyFont="1" applyBorder="1" applyAlignment="1">
      <alignment wrapText="1"/>
    </xf>
    <xf numFmtId="0" fontId="0" fillId="0" borderId="21" xfId="0" applyFont="1" applyBorder="1" applyAlignment="1">
      <alignment horizontal="left"/>
    </xf>
    <xf numFmtId="0" fontId="2" fillId="0" borderId="21" xfId="0" applyFont="1" applyBorder="1" applyAlignment="1">
      <alignment horizontal="left"/>
    </xf>
    <xf numFmtId="0" fontId="2" fillId="0" borderId="21" xfId="0" applyFont="1" applyBorder="1" applyAlignment="1"/>
    <xf numFmtId="0" fontId="49" fillId="0" borderId="21" xfId="0" applyFont="1" applyBorder="1" applyAlignment="1">
      <alignment wrapText="1"/>
    </xf>
    <xf numFmtId="0" fontId="50" fillId="0" borderId="21" xfId="0" applyFont="1" applyBorder="1" applyAlignment="1">
      <alignment horizontal="left"/>
    </xf>
    <xf numFmtId="0" fontId="49" fillId="3" borderId="21" xfId="0" applyFont="1" applyFill="1" applyBorder="1" applyAlignment="1">
      <alignment horizontal="left"/>
    </xf>
    <xf numFmtId="0" fontId="50" fillId="0" borderId="21" xfId="0" applyFont="1" applyBorder="1" applyAlignment="1">
      <alignment horizontal="center"/>
    </xf>
    <xf numFmtId="41" fontId="49" fillId="28" borderId="21" xfId="0" applyNumberFormat="1" applyFont="1" applyFill="1" applyBorder="1" applyAlignment="1">
      <alignment wrapText="1"/>
    </xf>
    <xf numFmtId="3" fontId="49" fillId="28" borderId="21" xfId="0" applyNumberFormat="1" applyFont="1" applyFill="1" applyBorder="1" applyAlignment="1">
      <alignment horizontal="right"/>
    </xf>
    <xf numFmtId="41" fontId="49" fillId="0" borderId="21" xfId="0" applyNumberFormat="1" applyFont="1" applyBorder="1" applyAlignment="1">
      <alignment wrapText="1"/>
    </xf>
    <xf numFmtId="41" fontId="49" fillId="28" borderId="21" xfId="0" applyNumberFormat="1" applyFont="1" applyFill="1" applyBorder="1" applyAlignment="1">
      <alignment vertical="center"/>
    </xf>
    <xf numFmtId="0" fontId="50" fillId="5" borderId="21" xfId="0" applyFont="1" applyFill="1" applyBorder="1" applyAlignment="1">
      <alignment horizontal="center"/>
    </xf>
    <xf numFmtId="41" fontId="50" fillId="5" borderId="21" xfId="0" applyNumberFormat="1" applyFont="1" applyFill="1" applyBorder="1" applyAlignment="1">
      <alignment vertical="center"/>
    </xf>
    <xf numFmtId="0" fontId="44" fillId="0" borderId="21" xfId="0" applyFont="1" applyBorder="1" applyAlignment="1">
      <alignment vertical="center"/>
    </xf>
    <xf numFmtId="41" fontId="35" fillId="0" borderId="21" xfId="0" applyNumberFormat="1" applyFont="1" applyBorder="1" applyAlignment="1">
      <alignment horizontal="center" vertical="center"/>
    </xf>
    <xf numFmtId="41" fontId="50" fillId="0" borderId="21" xfId="0" applyNumberFormat="1" applyFont="1" applyBorder="1" applyAlignment="1">
      <alignment vertical="center"/>
    </xf>
    <xf numFmtId="10" fontId="12" fillId="3" borderId="21" xfId="0" applyNumberFormat="1" applyFont="1" applyFill="1" applyBorder="1" applyAlignment="1">
      <alignment horizontal="center" vertical="center" wrapText="1"/>
    </xf>
    <xf numFmtId="0" fontId="44" fillId="0" borderId="21" xfId="0" applyFont="1" applyBorder="1" applyAlignment="1">
      <alignment horizontal="center"/>
    </xf>
    <xf numFmtId="0" fontId="44" fillId="0" borderId="21" xfId="0" applyFont="1" applyBorder="1" applyAlignment="1">
      <alignment horizontal="center" vertical="center"/>
    </xf>
    <xf numFmtId="0" fontId="49" fillId="0" borderId="21" xfId="0" applyFont="1" applyBorder="1" applyAlignment="1">
      <alignment horizontal="center" vertical="center"/>
    </xf>
    <xf numFmtId="170" fontId="49" fillId="0" borderId="21" xfId="42" applyNumberFormat="1" applyFont="1" applyBorder="1" applyAlignment="1">
      <alignment vertical="center"/>
    </xf>
    <xf numFmtId="41" fontId="49" fillId="29" borderId="21" xfId="0" applyNumberFormat="1" applyFont="1" applyFill="1" applyBorder="1" applyAlignment="1"/>
    <xf numFmtId="0" fontId="50" fillId="0" borderId="41" xfId="0" applyFont="1" applyBorder="1" applyAlignment="1">
      <alignment horizontal="center"/>
    </xf>
    <xf numFmtId="0" fontId="50" fillId="5" borderId="41" xfId="0" applyFont="1" applyFill="1" applyBorder="1" applyAlignment="1">
      <alignment horizontal="center"/>
    </xf>
    <xf numFmtId="0" fontId="50" fillId="3" borderId="21" xfId="0" applyFont="1" applyFill="1" applyBorder="1" applyAlignment="1">
      <alignment horizontal="center" vertical="center"/>
    </xf>
    <xf numFmtId="0" fontId="0" fillId="4" borderId="21" xfId="0" applyFill="1" applyBorder="1" applyAlignment="1">
      <alignment horizontal="left"/>
    </xf>
    <xf numFmtId="0" fontId="2" fillId="4" borderId="21" xfId="0" applyFont="1" applyFill="1" applyBorder="1" applyAlignment="1">
      <alignment horizontal="left"/>
    </xf>
    <xf numFmtId="0" fontId="0" fillId="0" borderId="21" xfId="0" applyBorder="1" applyAlignment="1">
      <alignment horizontal="left" vertical="center"/>
    </xf>
    <xf numFmtId="0" fontId="34" fillId="0" borderId="21" xfId="0" applyFont="1" applyBorder="1" applyAlignment="1">
      <alignment horizontal="left" vertical="center"/>
    </xf>
    <xf numFmtId="0" fontId="51" fillId="30" borderId="41" xfId="0" applyFont="1" applyFill="1" applyBorder="1" applyAlignment="1">
      <alignment horizontal="center"/>
    </xf>
    <xf numFmtId="0" fontId="51" fillId="30" borderId="21" xfId="0" applyFont="1" applyFill="1" applyBorder="1" applyAlignment="1">
      <alignment horizontal="center"/>
    </xf>
    <xf numFmtId="0" fontId="44" fillId="30" borderId="21" xfId="0" applyFont="1" applyFill="1" applyBorder="1" applyAlignment="1">
      <alignment vertical="center"/>
    </xf>
    <xf numFmtId="3" fontId="51" fillId="30" borderId="21" xfId="0" applyNumberFormat="1" applyFont="1" applyFill="1" applyBorder="1"/>
    <xf numFmtId="170" fontId="44" fillId="30" borderId="21" xfId="0" applyNumberFormat="1" applyFont="1" applyFill="1" applyBorder="1" applyAlignment="1">
      <alignment vertical="center"/>
    </xf>
    <xf numFmtId="0" fontId="2" fillId="4" borderId="21" xfId="0" applyFont="1" applyFill="1" applyBorder="1" applyAlignment="1">
      <alignment vertical="center"/>
    </xf>
    <xf numFmtId="0" fontId="50" fillId="3" borderId="21" xfId="0" applyFont="1" applyFill="1" applyBorder="1" applyAlignment="1">
      <alignment horizontal="center"/>
    </xf>
    <xf numFmtId="0" fontId="20" fillId="4" borderId="21" xfId="0" applyFont="1" applyFill="1" applyBorder="1" applyAlignment="1">
      <alignment vertical="center"/>
    </xf>
    <xf numFmtId="9" fontId="35" fillId="0" borderId="18" xfId="0" applyNumberFormat="1" applyFont="1" applyBorder="1" applyAlignment="1">
      <alignment horizontal="center" vertical="center"/>
    </xf>
    <xf numFmtId="41" fontId="3" fillId="2" borderId="21" xfId="0" applyNumberFormat="1" applyFont="1" applyFill="1" applyBorder="1" applyAlignment="1">
      <alignment wrapText="1"/>
    </xf>
    <xf numFmtId="9" fontId="26" fillId="28" borderId="21" xfId="0" applyNumberFormat="1" applyFont="1" applyFill="1" applyBorder="1" applyAlignment="1">
      <alignment horizontal="center" vertical="center"/>
    </xf>
    <xf numFmtId="9" fontId="35" fillId="0" borderId="21" xfId="0" applyNumberFormat="1" applyFont="1" applyBorder="1" applyAlignment="1">
      <alignment horizontal="center" vertical="center"/>
    </xf>
    <xf numFmtId="0" fontId="3" fillId="28" borderId="16" xfId="0" applyFont="1" applyFill="1" applyBorder="1" applyAlignment="1">
      <alignment vertical="center"/>
    </xf>
    <xf numFmtId="0" fontId="28" fillId="28" borderId="5" xfId="0" applyFont="1" applyFill="1" applyBorder="1" applyAlignment="1">
      <alignment horizontal="left"/>
    </xf>
    <xf numFmtId="165" fontId="3" fillId="28" borderId="21" xfId="0" applyNumberFormat="1" applyFont="1" applyFill="1" applyBorder="1" applyAlignment="1">
      <alignment vertical="center"/>
    </xf>
    <xf numFmtId="0" fontId="23" fillId="31" borderId="29" xfId="0" applyFont="1" applyFill="1" applyBorder="1" applyAlignment="1">
      <alignment horizontal="center" vertical="center"/>
    </xf>
    <xf numFmtId="3" fontId="18" fillId="31" borderId="41" xfId="0" applyNumberFormat="1" applyFont="1" applyFill="1" applyBorder="1" applyAlignment="1">
      <alignment vertical="center"/>
    </xf>
    <xf numFmtId="0" fontId="20" fillId="4" borderId="21" xfId="0" applyFont="1" applyFill="1" applyBorder="1" applyAlignment="1">
      <alignment vertical="center"/>
    </xf>
    <xf numFmtId="0" fontId="2" fillId="4" borderId="21" xfId="0" applyFont="1" applyFill="1" applyBorder="1" applyAlignment="1">
      <alignment vertical="center"/>
    </xf>
    <xf numFmtId="0" fontId="3" fillId="3" borderId="21" xfId="0" applyFont="1" applyFill="1" applyBorder="1" applyAlignment="1">
      <alignment horizontal="center" vertical="center"/>
    </xf>
    <xf numFmtId="17" fontId="3" fillId="2" borderId="9" xfId="0" applyNumberFormat="1" applyFont="1" applyFill="1" applyBorder="1" applyAlignment="1">
      <alignment horizontal="center"/>
    </xf>
    <xf numFmtId="170" fontId="3" fillId="2" borderId="21" xfId="42" applyNumberFormat="1" applyFont="1" applyFill="1" applyBorder="1"/>
    <xf numFmtId="41" fontId="3" fillId="30" borderId="21" xfId="0" applyNumberFormat="1" applyFont="1" applyFill="1" applyBorder="1" applyAlignment="1">
      <alignment wrapText="1"/>
    </xf>
    <xf numFmtId="170" fontId="3" fillId="2" borderId="21" xfId="42" applyNumberFormat="1" applyFont="1" applyFill="1" applyBorder="1" applyAlignment="1">
      <alignment wrapText="1"/>
    </xf>
    <xf numFmtId="167" fontId="3" fillId="2" borderId="21" xfId="0" applyNumberFormat="1" applyFont="1" applyFill="1" applyBorder="1"/>
    <xf numFmtId="170" fontId="3" fillId="2" borderId="21" xfId="42" applyNumberFormat="1" applyFont="1" applyFill="1" applyBorder="1" applyAlignment="1">
      <alignment horizontal="right"/>
    </xf>
    <xf numFmtId="3" fontId="3" fillId="31" borderId="41" xfId="0" applyNumberFormat="1" applyFont="1" applyFill="1" applyBorder="1" applyAlignment="1">
      <alignment vertical="center"/>
    </xf>
    <xf numFmtId="3" fontId="3" fillId="28" borderId="21" xfId="0" applyNumberFormat="1" applyFont="1" applyFill="1" applyBorder="1" applyAlignment="1">
      <alignment vertical="center"/>
    </xf>
    <xf numFmtId="3" fontId="3" fillId="28" borderId="13" xfId="0" applyNumberFormat="1" applyFont="1" applyFill="1" applyBorder="1" applyAlignment="1">
      <alignment horizontal="right" vertical="center"/>
    </xf>
    <xf numFmtId="3" fontId="3" fillId="2" borderId="17" xfId="0" applyNumberFormat="1" applyFont="1" applyFill="1" applyBorder="1" applyAlignment="1">
      <alignment horizontal="right" vertical="center"/>
    </xf>
    <xf numFmtId="3" fontId="3" fillId="2" borderId="17" xfId="0" applyNumberFormat="1" applyFont="1" applyFill="1" applyBorder="1" applyAlignment="1">
      <alignment vertical="center"/>
    </xf>
    <xf numFmtId="3" fontId="3" fillId="2" borderId="17" xfId="0" applyNumberFormat="1" applyFont="1" applyFill="1" applyBorder="1" applyAlignment="1">
      <alignment wrapText="1"/>
    </xf>
    <xf numFmtId="3" fontId="3" fillId="2" borderId="22" xfId="0" applyNumberFormat="1" applyFont="1" applyFill="1" applyBorder="1" applyAlignment="1">
      <alignment vertical="center"/>
    </xf>
    <xf numFmtId="3" fontId="3" fillId="2" borderId="34" xfId="0" applyNumberFormat="1" applyFont="1" applyFill="1" applyBorder="1" applyAlignment="1">
      <alignment horizontal="right"/>
    </xf>
    <xf numFmtId="0" fontId="3" fillId="0" borderId="0" xfId="0" applyFont="1" applyAlignment="1">
      <alignment wrapText="1"/>
    </xf>
    <xf numFmtId="170" fontId="3" fillId="2" borderId="21" xfId="42" applyNumberFormat="1" applyFont="1" applyFill="1" applyBorder="1" applyAlignment="1">
      <alignment horizontal="center"/>
    </xf>
    <xf numFmtId="41" fontId="3" fillId="2" borderId="21" xfId="0" applyNumberFormat="1" applyFont="1" applyFill="1" applyBorder="1"/>
    <xf numFmtId="168" fontId="3" fillId="2" borderId="21" xfId="0" applyNumberFormat="1" applyFont="1" applyFill="1" applyBorder="1" applyAlignment="1">
      <alignment wrapText="1"/>
    </xf>
    <xf numFmtId="0" fontId="3" fillId="29" borderId="21" xfId="0" applyFont="1" applyFill="1" applyBorder="1" applyAlignment="1">
      <alignment wrapText="1"/>
    </xf>
    <xf numFmtId="0" fontId="3" fillId="30" borderId="21" xfId="0" applyFont="1" applyFill="1" applyBorder="1" applyAlignment="1">
      <alignment horizontal="center" vertical="center"/>
    </xf>
    <xf numFmtId="43" fontId="3" fillId="30" borderId="21" xfId="0" applyNumberFormat="1" applyFont="1" applyFill="1" applyBorder="1" applyAlignment="1">
      <alignment wrapText="1"/>
    </xf>
    <xf numFmtId="41" fontId="3" fillId="31" borderId="21" xfId="0" applyNumberFormat="1" applyFont="1" applyFill="1" applyBorder="1" applyAlignment="1">
      <alignment wrapText="1"/>
    </xf>
    <xf numFmtId="0" fontId="3" fillId="28" borderId="13" xfId="0" applyFont="1" applyFill="1" applyBorder="1" applyAlignment="1">
      <alignment vertical="center"/>
    </xf>
    <xf numFmtId="0" fontId="3" fillId="30" borderId="17" xfId="0" applyFont="1" applyFill="1" applyBorder="1" applyAlignment="1">
      <alignment vertical="center"/>
    </xf>
    <xf numFmtId="41" fontId="3" fillId="30" borderId="32" xfId="0" applyNumberFormat="1" applyFont="1" applyFill="1" applyBorder="1" applyAlignment="1">
      <alignment wrapText="1"/>
    </xf>
    <xf numFmtId="170" fontId="3" fillId="30" borderId="21" xfId="42" applyNumberFormat="1" applyFont="1" applyFill="1" applyBorder="1" applyAlignment="1">
      <alignment wrapText="1"/>
    </xf>
    <xf numFmtId="170" fontId="31" fillId="28" borderId="21" xfId="42" applyNumberFormat="1" applyFont="1" applyFill="1" applyBorder="1" applyAlignment="1">
      <alignment horizontal="center"/>
    </xf>
    <xf numFmtId="0" fontId="37" fillId="0" borderId="15" xfId="0" applyFont="1" applyBorder="1" applyAlignment="1">
      <alignment horizontal="center"/>
    </xf>
    <xf numFmtId="170" fontId="6" fillId="28" borderId="21" xfId="42" applyNumberFormat="1" applyFont="1" applyFill="1" applyBorder="1" applyAlignment="1">
      <alignment wrapText="1"/>
    </xf>
    <xf numFmtId="170" fontId="16" fillId="28" borderId="21" xfId="42" applyNumberFormat="1" applyFont="1" applyFill="1" applyBorder="1"/>
    <xf numFmtId="170" fontId="3" fillId="28" borderId="21" xfId="42" applyNumberFormat="1" applyFont="1" applyFill="1" applyBorder="1" applyAlignment="1">
      <alignment wrapText="1"/>
    </xf>
    <xf numFmtId="9" fontId="35" fillId="0" borderId="21" xfId="43" applyFont="1" applyBorder="1" applyAlignment="1">
      <alignment horizontal="center" vertical="center"/>
    </xf>
    <xf numFmtId="1" fontId="9" fillId="0" borderId="19" xfId="0" applyNumberFormat="1" applyFont="1" applyFill="1" applyBorder="1" applyAlignment="1">
      <alignment horizontal="center" vertical="center"/>
    </xf>
    <xf numFmtId="41" fontId="50" fillId="29" borderId="21" xfId="0" applyNumberFormat="1" applyFont="1" applyFill="1" applyBorder="1" applyAlignment="1">
      <alignment horizontal="right"/>
    </xf>
    <xf numFmtId="41" fontId="49" fillId="29" borderId="21" xfId="0" applyNumberFormat="1" applyFont="1" applyFill="1" applyBorder="1" applyAlignment="1">
      <alignment vertical="center"/>
    </xf>
    <xf numFmtId="0" fontId="3" fillId="3" borderId="21" xfId="0" applyFont="1" applyFill="1" applyBorder="1" applyAlignment="1">
      <alignment horizontal="center" vertical="center"/>
    </xf>
    <xf numFmtId="169" fontId="13" fillId="28" borderId="21" xfId="0" applyNumberFormat="1" applyFont="1" applyFill="1" applyBorder="1" applyAlignment="1">
      <alignment wrapText="1"/>
    </xf>
    <xf numFmtId="171" fontId="3" fillId="2" borderId="25" xfId="0" applyNumberFormat="1" applyFont="1" applyFill="1" applyBorder="1" applyAlignment="1"/>
    <xf numFmtId="170" fontId="3" fillId="32" borderId="21" xfId="42" applyNumberFormat="1" applyFont="1" applyFill="1" applyBorder="1" applyAlignment="1">
      <alignment wrapText="1"/>
    </xf>
    <xf numFmtId="41" fontId="3" fillId="32" borderId="21" xfId="0" applyNumberFormat="1" applyFont="1" applyFill="1" applyBorder="1" applyAlignment="1">
      <alignment wrapText="1"/>
    </xf>
    <xf numFmtId="170" fontId="3" fillId="28" borderId="21" xfId="42" applyNumberFormat="1" applyFont="1" applyFill="1" applyBorder="1" applyAlignment="1">
      <alignment horizontal="center"/>
    </xf>
    <xf numFmtId="170" fontId="3" fillId="28" borderId="21" xfId="42" applyNumberFormat="1" applyFont="1" applyFill="1" applyBorder="1"/>
    <xf numFmtId="167" fontId="3" fillId="28" borderId="21" xfId="0" applyNumberFormat="1" applyFont="1" applyFill="1" applyBorder="1"/>
    <xf numFmtId="170" fontId="2" fillId="28" borderId="21" xfId="42" applyNumberFormat="1" applyFont="1" applyFill="1" applyBorder="1"/>
    <xf numFmtId="170" fontId="3" fillId="28" borderId="21" xfId="42" applyNumberFormat="1" applyFont="1" applyFill="1" applyBorder="1" applyAlignment="1">
      <alignment horizontal="right"/>
    </xf>
    <xf numFmtId="41" fontId="44" fillId="28" borderId="21" xfId="0" applyNumberFormat="1" applyFont="1" applyFill="1" applyBorder="1" applyAlignment="1">
      <alignment wrapText="1"/>
    </xf>
    <xf numFmtId="0" fontId="3" fillId="28" borderId="21" xfId="0" applyFont="1" applyFill="1" applyBorder="1" applyAlignment="1">
      <alignment horizontal="center" vertical="center"/>
    </xf>
    <xf numFmtId="41" fontId="3" fillId="28" borderId="21" xfId="0" applyNumberFormat="1" applyFont="1" applyFill="1" applyBorder="1"/>
    <xf numFmtId="0" fontId="49" fillId="28" borderId="21" xfId="0" applyFont="1" applyFill="1" applyBorder="1" applyAlignment="1">
      <alignment vertical="center"/>
    </xf>
    <xf numFmtId="168" fontId="3" fillId="28" borderId="21" xfId="0" applyNumberFormat="1" applyFont="1" applyFill="1" applyBorder="1" applyAlignment="1">
      <alignment wrapText="1"/>
    </xf>
    <xf numFmtId="41" fontId="49" fillId="28" borderId="21" xfId="0" applyNumberFormat="1" applyFont="1" applyFill="1" applyBorder="1" applyAlignment="1">
      <alignment horizontal="right"/>
    </xf>
    <xf numFmtId="41" fontId="3" fillId="28" borderId="21" xfId="0" applyNumberFormat="1" applyFont="1" applyFill="1" applyBorder="1" applyAlignment="1">
      <alignment wrapText="1"/>
    </xf>
    <xf numFmtId="10" fontId="12" fillId="28" borderId="21" xfId="0" applyNumberFormat="1" applyFont="1" applyFill="1" applyBorder="1" applyAlignment="1">
      <alignment horizontal="center" vertical="center" wrapText="1"/>
    </xf>
    <xf numFmtId="3" fontId="3" fillId="28" borderId="41" xfId="0" applyNumberFormat="1" applyFont="1" applyFill="1" applyBorder="1" applyAlignment="1">
      <alignment vertical="center"/>
    </xf>
    <xf numFmtId="41" fontId="50" fillId="28" borderId="21" xfId="0" applyNumberFormat="1" applyFont="1" applyFill="1" applyBorder="1" applyAlignment="1">
      <alignment horizontal="right"/>
    </xf>
    <xf numFmtId="0" fontId="3" fillId="28" borderId="21" xfId="0" applyFont="1" applyFill="1" applyBorder="1" applyAlignment="1">
      <alignment wrapText="1"/>
    </xf>
    <xf numFmtId="41" fontId="50" fillId="28" borderId="21" xfId="0" applyNumberFormat="1" applyFont="1" applyFill="1" applyBorder="1" applyAlignment="1">
      <alignment vertical="center"/>
    </xf>
    <xf numFmtId="3" fontId="3" fillId="28" borderId="21" xfId="0" applyNumberFormat="1" applyFont="1" applyFill="1" applyBorder="1" applyAlignment="1">
      <alignment horizontal="right"/>
    </xf>
    <xf numFmtId="170" fontId="49" fillId="28" borderId="21" xfId="42" applyNumberFormat="1" applyFont="1" applyFill="1" applyBorder="1" applyAlignment="1">
      <alignment vertical="center"/>
    </xf>
    <xf numFmtId="41" fontId="44" fillId="28" borderId="21" xfId="0" applyNumberFormat="1" applyFont="1" applyFill="1" applyBorder="1" applyAlignment="1">
      <alignment horizontal="right"/>
    </xf>
    <xf numFmtId="0" fontId="49" fillId="28" borderId="21" xfId="0" applyFont="1" applyFill="1" applyBorder="1" applyAlignment="1">
      <alignment wrapText="1"/>
    </xf>
    <xf numFmtId="0" fontId="49" fillId="28" borderId="0" xfId="0" applyFont="1" applyFill="1" applyBorder="1" applyAlignment="1">
      <alignment wrapText="1"/>
    </xf>
    <xf numFmtId="41" fontId="49" fillId="0" borderId="21" xfId="0" applyNumberFormat="1" applyFont="1" applyBorder="1" applyAlignment="1">
      <alignment vertical="center"/>
    </xf>
    <xf numFmtId="0" fontId="51" fillId="0" borderId="54" xfId="0" applyFont="1" applyBorder="1" applyAlignment="1">
      <alignment horizontal="left" wrapText="1"/>
    </xf>
    <xf numFmtId="41" fontId="50" fillId="28" borderId="21" xfId="0" applyNumberFormat="1" applyFont="1" applyFill="1" applyBorder="1" applyAlignment="1">
      <alignment wrapText="1"/>
    </xf>
    <xf numFmtId="167" fontId="50" fillId="28" borderId="21" xfId="0" applyNumberFormat="1" applyFont="1" applyFill="1" applyBorder="1"/>
    <xf numFmtId="3" fontId="50" fillId="28" borderId="21" xfId="0" applyNumberFormat="1" applyFont="1" applyFill="1" applyBorder="1"/>
    <xf numFmtId="164" fontId="50" fillId="28" borderId="21" xfId="0" applyNumberFormat="1" applyFont="1" applyFill="1" applyBorder="1" applyAlignment="1">
      <alignment horizontal="right"/>
    </xf>
    <xf numFmtId="3" fontId="50" fillId="28" borderId="21" xfId="0" applyNumberFormat="1" applyFont="1" applyFill="1" applyBorder="1" applyAlignment="1">
      <alignment horizontal="right"/>
    </xf>
    <xf numFmtId="0" fontId="50" fillId="0" borderId="21" xfId="0" applyFont="1" applyBorder="1" applyAlignment="1">
      <alignment vertical="center"/>
    </xf>
    <xf numFmtId="170" fontId="50" fillId="29" borderId="21" xfId="42" applyNumberFormat="1" applyFont="1" applyFill="1" applyBorder="1" applyAlignment="1">
      <alignment wrapText="1"/>
    </xf>
    <xf numFmtId="10" fontId="3" fillId="3" borderId="21" xfId="0" applyNumberFormat="1" applyFont="1" applyFill="1" applyBorder="1" applyAlignment="1">
      <alignment horizontal="center" vertical="center" wrapText="1"/>
    </xf>
    <xf numFmtId="0" fontId="50" fillId="29" borderId="21" xfId="0" applyFont="1" applyFill="1" applyBorder="1" applyAlignment="1">
      <alignment vertical="center"/>
    </xf>
    <xf numFmtId="3" fontId="50" fillId="0" borderId="21" xfId="0" applyNumberFormat="1" applyFont="1" applyBorder="1" applyAlignment="1">
      <alignment horizontal="right"/>
    </xf>
    <xf numFmtId="41" fontId="50" fillId="29" borderId="21" xfId="0" applyNumberFormat="1" applyFont="1" applyFill="1" applyBorder="1" applyAlignment="1"/>
    <xf numFmtId="170" fontId="50" fillId="0" borderId="21" xfId="42" applyNumberFormat="1" applyFont="1" applyBorder="1" applyAlignment="1">
      <alignment vertical="center"/>
    </xf>
    <xf numFmtId="170" fontId="50" fillId="29" borderId="21" xfId="42" applyNumberFormat="1" applyFont="1" applyFill="1" applyBorder="1" applyAlignment="1">
      <alignment vertical="center"/>
    </xf>
    <xf numFmtId="41" fontId="51" fillId="0" borderId="21" xfId="0" applyNumberFormat="1" applyFont="1" applyBorder="1" applyAlignment="1">
      <alignment horizontal="right"/>
    </xf>
    <xf numFmtId="41" fontId="51" fillId="29" borderId="21" xfId="0" applyNumberFormat="1" applyFont="1" applyFill="1" applyBorder="1" applyAlignment="1">
      <alignment horizontal="right"/>
    </xf>
    <xf numFmtId="0" fontId="50" fillId="0" borderId="21" xfId="0" applyFont="1" applyBorder="1" applyAlignment="1">
      <alignment wrapText="1"/>
    </xf>
    <xf numFmtId="0" fontId="50" fillId="0" borderId="0" xfId="0" applyFont="1" applyBorder="1" applyAlignment="1">
      <alignment wrapText="1"/>
    </xf>
    <xf numFmtId="0" fontId="50" fillId="0" borderId="0" xfId="0" applyFont="1" applyBorder="1" applyAlignment="1">
      <alignment vertical="center"/>
    </xf>
    <xf numFmtId="0" fontId="50" fillId="0" borderId="0" xfId="0" applyFont="1" applyAlignment="1">
      <alignment wrapText="1"/>
    </xf>
    <xf numFmtId="0" fontId="50" fillId="0" borderId="28" xfId="0" applyFont="1" applyBorder="1" applyAlignment="1">
      <alignment vertical="center"/>
    </xf>
    <xf numFmtId="0" fontId="49" fillId="28" borderId="0" xfId="0" applyFont="1" applyFill="1" applyAlignment="1">
      <alignment vertical="center"/>
    </xf>
    <xf numFmtId="41" fontId="50" fillId="32" borderId="21" xfId="0" applyNumberFormat="1" applyFont="1" applyFill="1" applyBorder="1" applyAlignment="1">
      <alignment vertical="center"/>
    </xf>
    <xf numFmtId="3" fontId="50" fillId="28" borderId="21" xfId="0" applyNumberFormat="1" applyFont="1" applyFill="1" applyBorder="1" applyAlignment="1">
      <alignment vertical="center"/>
    </xf>
    <xf numFmtId="41" fontId="50" fillId="30" borderId="21" xfId="0" applyNumberFormat="1" applyFont="1" applyFill="1" applyBorder="1" applyAlignment="1">
      <alignment wrapText="1"/>
    </xf>
    <xf numFmtId="3" fontId="50" fillId="32" borderId="21" xfId="0" applyNumberFormat="1" applyFont="1" applyFill="1" applyBorder="1" applyAlignment="1">
      <alignment vertical="center"/>
    </xf>
    <xf numFmtId="165" fontId="49" fillId="5" borderId="21" xfId="0" applyNumberFormat="1" applyFont="1" applyFill="1" applyBorder="1" applyAlignment="1">
      <alignment horizontal="right"/>
    </xf>
    <xf numFmtId="165" fontId="49" fillId="28" borderId="21" xfId="0" applyNumberFormat="1" applyFont="1" applyFill="1" applyBorder="1" applyAlignment="1">
      <alignment horizontal="right"/>
    </xf>
    <xf numFmtId="165" fontId="50" fillId="28" borderId="21" xfId="0" applyNumberFormat="1" applyFont="1" applyFill="1" applyBorder="1" applyAlignment="1">
      <alignment horizontal="right"/>
    </xf>
    <xf numFmtId="165" fontId="50" fillId="5" borderId="21" xfId="0" applyNumberFormat="1" applyFont="1" applyFill="1" applyBorder="1" applyAlignment="1">
      <alignment horizontal="right"/>
    </xf>
    <xf numFmtId="41" fontId="50" fillId="0" borderId="21" xfId="0" applyNumberFormat="1" applyFont="1" applyBorder="1"/>
    <xf numFmtId="9" fontId="49" fillId="4" borderId="21" xfId="0" applyNumberFormat="1" applyFont="1" applyFill="1" applyBorder="1" applyAlignment="1">
      <alignment horizontal="center" vertical="center"/>
    </xf>
    <xf numFmtId="170" fontId="49" fillId="28" borderId="21" xfId="42" applyNumberFormat="1" applyFont="1" applyFill="1" applyBorder="1" applyAlignment="1">
      <alignment horizontal="center"/>
    </xf>
    <xf numFmtId="170" fontId="49" fillId="28" borderId="21" xfId="42" applyNumberFormat="1" applyFont="1" applyFill="1" applyBorder="1" applyAlignment="1">
      <alignment wrapText="1"/>
    </xf>
    <xf numFmtId="1" fontId="49" fillId="0" borderId="21" xfId="0" applyNumberFormat="1" applyFont="1" applyFill="1" applyBorder="1" applyAlignment="1">
      <alignment horizontal="center" vertical="center"/>
    </xf>
    <xf numFmtId="170" fontId="49" fillId="2" borderId="21" xfId="42" applyNumberFormat="1" applyFont="1" applyFill="1" applyBorder="1" applyAlignment="1">
      <alignment horizontal="center"/>
    </xf>
    <xf numFmtId="37" fontId="49" fillId="0" borderId="21" xfId="0" applyNumberFormat="1" applyFont="1" applyBorder="1" applyAlignment="1">
      <alignment horizontal="center" vertical="center"/>
    </xf>
    <xf numFmtId="170" fontId="49" fillId="29" borderId="21" xfId="42" applyNumberFormat="1" applyFont="1" applyFill="1" applyBorder="1"/>
    <xf numFmtId="0" fontId="49" fillId="4" borderId="21" xfId="0" applyFont="1" applyFill="1" applyBorder="1" applyAlignment="1">
      <alignment vertical="center"/>
    </xf>
    <xf numFmtId="9" fontId="49" fillId="0" borderId="21" xfId="0" applyNumberFormat="1" applyFont="1" applyBorder="1" applyAlignment="1">
      <alignment horizontal="center" vertical="center"/>
    </xf>
    <xf numFmtId="170" fontId="49" fillId="0" borderId="21" xfId="42" applyNumberFormat="1" applyFont="1" applyBorder="1"/>
    <xf numFmtId="4" fontId="49" fillId="3" borderId="21" xfId="0" applyNumberFormat="1" applyFont="1" applyFill="1" applyBorder="1" applyAlignment="1">
      <alignment horizontal="center" vertical="center"/>
    </xf>
    <xf numFmtId="167" fontId="49" fillId="4" borderId="21" xfId="0" applyNumberFormat="1" applyFont="1" applyFill="1" applyBorder="1"/>
    <xf numFmtId="0" fontId="49" fillId="3" borderId="21" xfId="0" applyFont="1" applyFill="1" applyBorder="1" applyAlignment="1">
      <alignment horizontal="center" vertical="center"/>
    </xf>
    <xf numFmtId="3" fontId="49" fillId="0" borderId="21" xfId="0" applyNumberFormat="1" applyFont="1" applyBorder="1"/>
    <xf numFmtId="0" fontId="49" fillId="0" borderId="21" xfId="0" applyFont="1" applyBorder="1" applyAlignment="1">
      <alignment horizontal="center" wrapText="1"/>
    </xf>
    <xf numFmtId="170" fontId="49" fillId="29" borderId="21" xfId="42" applyNumberFormat="1" applyFont="1" applyFill="1" applyBorder="1" applyAlignment="1">
      <alignment horizontal="right"/>
    </xf>
    <xf numFmtId="0" fontId="49" fillId="0" borderId="21" xfId="0" applyFont="1" applyBorder="1" applyAlignment="1">
      <alignment horizontal="left"/>
    </xf>
    <xf numFmtId="164" fontId="49" fillId="3" borderId="21" xfId="0" applyNumberFormat="1" applyFont="1" applyFill="1" applyBorder="1" applyAlignment="1">
      <alignment horizontal="center"/>
    </xf>
    <xf numFmtId="9" fontId="49" fillId="3" borderId="21" xfId="0" applyNumberFormat="1" applyFont="1" applyFill="1" applyBorder="1" applyAlignment="1">
      <alignment horizontal="center" wrapText="1"/>
    </xf>
    <xf numFmtId="3" fontId="49" fillId="4" borderId="21" xfId="0" applyNumberFormat="1" applyFont="1" applyFill="1" applyBorder="1" applyAlignment="1">
      <alignment horizontal="right"/>
    </xf>
    <xf numFmtId="10" fontId="49" fillId="3" borderId="21" xfId="0" applyNumberFormat="1" applyFont="1" applyFill="1" applyBorder="1" applyAlignment="1">
      <alignment horizontal="center" wrapText="1"/>
    </xf>
    <xf numFmtId="164" fontId="49" fillId="4" borderId="21" xfId="0" applyNumberFormat="1" applyFont="1" applyFill="1" applyBorder="1" applyAlignment="1">
      <alignment horizontal="right" vertical="center"/>
    </xf>
    <xf numFmtId="37" fontId="49" fillId="5" borderId="21" xfId="0" applyNumberFormat="1" applyFont="1" applyFill="1" applyBorder="1" applyAlignment="1">
      <alignment horizontal="right"/>
    </xf>
    <xf numFmtId="169" fontId="49" fillId="0" borderId="21" xfId="0" applyNumberFormat="1" applyFont="1" applyFill="1" applyBorder="1" applyAlignment="1"/>
    <xf numFmtId="41" fontId="49" fillId="0" borderId="21" xfId="0" applyNumberFormat="1" applyFont="1" applyFill="1" applyBorder="1" applyAlignment="1"/>
    <xf numFmtId="41" fontId="49" fillId="0" borderId="21" xfId="0" applyNumberFormat="1" applyFont="1" applyFill="1" applyBorder="1" applyAlignment="1">
      <alignment wrapText="1"/>
    </xf>
    <xf numFmtId="41" fontId="49" fillId="0" borderId="21" xfId="0" applyNumberFormat="1" applyFont="1" applyBorder="1" applyAlignment="1">
      <alignment horizontal="center" vertical="center"/>
    </xf>
    <xf numFmtId="170" fontId="49" fillId="5" borderId="21" xfId="42" applyNumberFormat="1" applyFont="1" applyFill="1" applyBorder="1" applyAlignment="1">
      <alignment vertical="center"/>
    </xf>
    <xf numFmtId="170" fontId="49" fillId="0" borderId="21" xfId="0" applyNumberFormat="1" applyFont="1" applyBorder="1" applyAlignment="1">
      <alignment vertical="center"/>
    </xf>
    <xf numFmtId="10" fontId="49" fillId="3" borderId="21" xfId="0" applyNumberFormat="1" applyFont="1" applyFill="1" applyBorder="1" applyAlignment="1">
      <alignment horizontal="center" vertical="center" wrapText="1"/>
    </xf>
    <xf numFmtId="0" fontId="49" fillId="4" borderId="21" xfId="0" applyFont="1" applyFill="1" applyBorder="1" applyAlignment="1">
      <alignment horizontal="left"/>
    </xf>
    <xf numFmtId="0" fontId="49" fillId="0" borderId="21" xfId="0" applyFont="1" applyBorder="1" applyAlignment="1">
      <alignment horizontal="left" vertical="center"/>
    </xf>
    <xf numFmtId="0" fontId="50" fillId="4" borderId="21" xfId="0" applyFont="1" applyFill="1" applyBorder="1" applyAlignment="1">
      <alignment horizontal="center"/>
    </xf>
    <xf numFmtId="0" fontId="49" fillId="0" borderId="21" xfId="0" applyFont="1" applyBorder="1"/>
    <xf numFmtId="9" fontId="49" fillId="0" borderId="21" xfId="0" applyNumberFormat="1" applyFont="1" applyFill="1" applyBorder="1" applyAlignment="1">
      <alignment horizontal="center" vertical="center"/>
    </xf>
    <xf numFmtId="41" fontId="49" fillId="5" borderId="21" xfId="0" applyNumberFormat="1" applyFont="1" applyFill="1" applyBorder="1" applyAlignment="1">
      <alignment wrapText="1"/>
    </xf>
    <xf numFmtId="170" fontId="49" fillId="5" borderId="21" xfId="0" applyNumberFormat="1" applyFont="1" applyFill="1" applyBorder="1" applyAlignment="1">
      <alignment vertical="center"/>
    </xf>
    <xf numFmtId="0" fontId="49" fillId="5" borderId="21" xfId="0" applyFont="1" applyFill="1" applyBorder="1" applyAlignment="1">
      <alignment vertical="center"/>
    </xf>
    <xf numFmtId="3" fontId="49" fillId="5" borderId="21" xfId="0" applyNumberFormat="1" applyFont="1" applyFill="1" applyBorder="1"/>
    <xf numFmtId="0" fontId="49" fillId="5" borderId="21" xfId="0" applyFont="1" applyFill="1" applyBorder="1" applyAlignment="1">
      <alignment horizontal="right" vertical="center" wrapText="1"/>
    </xf>
    <xf numFmtId="10" fontId="49" fillId="28" borderId="21" xfId="0" applyNumberFormat="1" applyFont="1" applyFill="1" applyBorder="1" applyAlignment="1">
      <alignment vertical="center"/>
    </xf>
    <xf numFmtId="10" fontId="50" fillId="5" borderId="21" xfId="0" applyNumberFormat="1" applyFont="1" applyFill="1" applyBorder="1" applyAlignment="1">
      <alignment vertical="center"/>
    </xf>
    <xf numFmtId="164" fontId="50" fillId="2" borderId="21" xfId="0" applyNumberFormat="1" applyFont="1" applyFill="1" applyBorder="1" applyAlignment="1">
      <alignment vertical="center"/>
    </xf>
    <xf numFmtId="164" fontId="49" fillId="0" borderId="21" xfId="0" applyNumberFormat="1" applyFont="1" applyBorder="1" applyAlignment="1">
      <alignment vertical="center"/>
    </xf>
    <xf numFmtId="1" fontId="19" fillId="3" borderId="21" xfId="0" applyNumberFormat="1" applyFont="1" applyFill="1" applyBorder="1" applyAlignment="1">
      <alignment horizontal="center" vertical="center"/>
    </xf>
    <xf numFmtId="1" fontId="49" fillId="3" borderId="21" xfId="0" applyNumberFormat="1" applyFont="1" applyFill="1" applyBorder="1" applyAlignment="1">
      <alignment horizontal="center" vertical="center"/>
    </xf>
    <xf numFmtId="170" fontId="3" fillId="32" borderId="21" xfId="42" applyNumberFormat="1" applyFont="1" applyFill="1" applyBorder="1" applyAlignment="1">
      <alignment horizontal="center"/>
    </xf>
    <xf numFmtId="170" fontId="3" fillId="32" borderId="21" xfId="42" applyNumberFormat="1" applyFont="1" applyFill="1" applyBorder="1"/>
    <xf numFmtId="1" fontId="50" fillId="32" borderId="21" xfId="0" applyNumberFormat="1" applyFont="1" applyFill="1" applyBorder="1" applyAlignment="1"/>
    <xf numFmtId="2" fontId="3" fillId="32" borderId="21" xfId="42" applyNumberFormat="1" applyFont="1" applyFill="1" applyBorder="1" applyAlignment="1">
      <alignment wrapText="1"/>
    </xf>
    <xf numFmtId="1" fontId="50" fillId="32" borderId="21" xfId="0" applyNumberFormat="1" applyFont="1" applyFill="1" applyBorder="1" applyAlignment="1">
      <alignment horizontal="right"/>
    </xf>
    <xf numFmtId="0" fontId="2" fillId="4" borderId="0" xfId="0" applyFont="1" applyFill="1" applyBorder="1" applyAlignment="1">
      <alignment horizontal="left"/>
    </xf>
    <xf numFmtId="0" fontId="24" fillId="4" borderId="0" xfId="0" applyFont="1" applyFill="1" applyBorder="1" applyAlignment="1">
      <alignment horizontal="left"/>
    </xf>
    <xf numFmtId="3" fontId="3" fillId="32" borderId="21" xfId="0" applyNumberFormat="1" applyFont="1" applyFill="1" applyBorder="1" applyAlignment="1">
      <alignment horizontal="right"/>
    </xf>
    <xf numFmtId="3" fontId="3" fillId="0" borderId="26" xfId="0" applyNumberFormat="1" applyFont="1" applyBorder="1" applyAlignment="1"/>
    <xf numFmtId="3" fontId="3" fillId="2" borderId="25" xfId="0" applyNumberFormat="1" applyFont="1" applyFill="1" applyBorder="1" applyAlignment="1"/>
    <xf numFmtId="3" fontId="3" fillId="2" borderId="17" xfId="0" applyNumberFormat="1" applyFont="1" applyFill="1" applyBorder="1" applyAlignment="1"/>
    <xf numFmtId="0" fontId="3" fillId="0" borderId="21" xfId="0" applyFont="1" applyBorder="1" applyAlignment="1">
      <alignment horizontal="center" wrapText="1"/>
    </xf>
    <xf numFmtId="10" fontId="0" fillId="3" borderId="21" xfId="0" applyNumberFormat="1" applyFill="1" applyBorder="1" applyAlignment="1">
      <alignment horizontal="center" wrapText="1"/>
    </xf>
    <xf numFmtId="10" fontId="0" fillId="28" borderId="21" xfId="0" applyNumberFormat="1" applyFill="1" applyBorder="1" applyAlignment="1">
      <alignment horizontal="center" wrapText="1"/>
    </xf>
    <xf numFmtId="0" fontId="50" fillId="0" borderId="21" xfId="0" applyFont="1" applyBorder="1" applyAlignment="1">
      <alignment horizontal="right"/>
    </xf>
    <xf numFmtId="10" fontId="50" fillId="5" borderId="21" xfId="0" applyNumberFormat="1" applyFont="1" applyFill="1" applyBorder="1" applyAlignment="1">
      <alignment horizontal="center" vertical="center"/>
    </xf>
    <xf numFmtId="0" fontId="32" fillId="0" borderId="1" xfId="0" applyFont="1" applyBorder="1" applyAlignment="1">
      <alignment horizontal="center"/>
    </xf>
    <xf numFmtId="0" fontId="42" fillId="0" borderId="2" xfId="0" applyFont="1" applyBorder="1" applyAlignment="1">
      <alignment horizontal="center"/>
    </xf>
    <xf numFmtId="0" fontId="2" fillId="4" borderId="21" xfId="0" applyFont="1" applyFill="1" applyBorder="1" applyAlignment="1">
      <alignment vertical="center"/>
    </xf>
    <xf numFmtId="0" fontId="20" fillId="4" borderId="21" xfId="0" applyFont="1" applyFill="1" applyBorder="1" applyAlignment="1">
      <alignment vertical="center"/>
    </xf>
    <xf numFmtId="0" fontId="40" fillId="0" borderId="21" xfId="0" applyFont="1" applyBorder="1" applyAlignment="1">
      <alignment vertical="center"/>
    </xf>
    <xf numFmtId="0" fontId="18" fillId="0" borderId="21" xfId="0" applyFont="1" applyBorder="1" applyAlignment="1">
      <alignment vertical="center"/>
    </xf>
    <xf numFmtId="0" fontId="47" fillId="4" borderId="21" xfId="0" applyFont="1" applyFill="1" applyBorder="1" applyAlignment="1">
      <alignment horizontal="center" vertical="center"/>
    </xf>
    <xf numFmtId="0" fontId="20" fillId="4" borderId="21" xfId="0" applyFont="1" applyFill="1" applyBorder="1" applyAlignment="1">
      <alignment horizontal="center" vertical="center"/>
    </xf>
    <xf numFmtId="0" fontId="39" fillId="3" borderId="12" xfId="0" applyFont="1" applyFill="1" applyBorder="1" applyAlignment="1">
      <alignment horizontal="center"/>
    </xf>
    <xf numFmtId="0" fontId="25" fillId="3" borderId="5" xfId="0" applyFont="1" applyFill="1" applyBorder="1" applyAlignment="1">
      <alignment horizontal="center"/>
    </xf>
    <xf numFmtId="0" fontId="40" fillId="4" borderId="21" xfId="0" applyFont="1" applyFill="1" applyBorder="1" applyAlignment="1">
      <alignment vertical="center"/>
    </xf>
    <xf numFmtId="0" fontId="47" fillId="0" borderId="21" xfId="0" applyFont="1" applyBorder="1" applyAlignment="1">
      <alignment vertical="center"/>
    </xf>
    <xf numFmtId="0" fontId="2" fillId="4" borderId="21"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3" borderId="21" xfId="0" applyFont="1" applyFill="1" applyBorder="1" applyAlignment="1">
      <alignment horizontal="center"/>
    </xf>
    <xf numFmtId="0" fontId="25" fillId="3" borderId="21" xfId="0" applyFont="1" applyFill="1" applyBorder="1" applyAlignment="1">
      <alignment horizont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37" fillId="0" borderId="1" xfId="0" applyFont="1" applyBorder="1" applyAlignment="1">
      <alignment horizontal="left"/>
    </xf>
    <xf numFmtId="0" fontId="25" fillId="0" borderId="2" xfId="0" applyFont="1" applyBorder="1" applyAlignment="1">
      <alignment horizontal="left"/>
    </xf>
    <xf numFmtId="0" fontId="37" fillId="0" borderId="43" xfId="0" applyFont="1" applyBorder="1" applyAlignment="1">
      <alignment horizontal="left"/>
    </xf>
    <xf numFmtId="0" fontId="37" fillId="0" borderId="39" xfId="0" applyFont="1" applyBorder="1" applyAlignment="1">
      <alignment horizontal="left"/>
    </xf>
    <xf numFmtId="0" fontId="37" fillId="0" borderId="53" xfId="0" applyFont="1" applyBorder="1" applyAlignment="1">
      <alignment horizontal="left"/>
    </xf>
    <xf numFmtId="0" fontId="37" fillId="0" borderId="1" xfId="0" applyFont="1" applyBorder="1" applyAlignment="1">
      <alignment horizontal="center"/>
    </xf>
    <xf numFmtId="0" fontId="25" fillId="0" borderId="2" xfId="0" applyFont="1" applyBorder="1" applyAlignment="1">
      <alignment horizontal="center"/>
    </xf>
    <xf numFmtId="0" fontId="3" fillId="31" borderId="12" xfId="0" applyFont="1" applyFill="1" applyBorder="1" applyAlignment="1">
      <alignment horizontal="center" vertical="center"/>
    </xf>
    <xf numFmtId="0" fontId="25" fillId="31" borderId="19" xfId="0" applyFont="1" applyFill="1" applyBorder="1" applyAlignment="1">
      <alignment horizontal="center" vertical="center"/>
    </xf>
    <xf numFmtId="0" fontId="25" fillId="31" borderId="18" xfId="0" applyFont="1" applyFill="1" applyBorder="1" applyAlignment="1">
      <alignment horizontal="center" vertical="center"/>
    </xf>
    <xf numFmtId="0" fontId="2" fillId="4" borderId="21" xfId="0" applyFont="1" applyFill="1" applyBorder="1" applyAlignment="1">
      <alignment horizontal="left"/>
    </xf>
    <xf numFmtId="0" fontId="24" fillId="4" borderId="16" xfId="0" applyFont="1" applyFill="1" applyBorder="1" applyAlignment="1">
      <alignment horizontal="left"/>
    </xf>
    <xf numFmtId="0" fontId="2" fillId="0" borderId="8" xfId="0" applyFont="1" applyBorder="1" applyAlignment="1">
      <alignment horizontal="left" vertical="center"/>
    </xf>
    <xf numFmtId="0" fontId="34" fillId="0" borderId="7" xfId="0" applyFont="1" applyBorder="1" applyAlignment="1">
      <alignment horizontal="left" vertical="center"/>
    </xf>
    <xf numFmtId="0" fontId="46" fillId="0" borderId="35" xfId="0" applyFont="1" applyBorder="1" applyAlignment="1">
      <alignment horizontal="center"/>
    </xf>
    <xf numFmtId="0" fontId="46" fillId="0" borderId="36" xfId="0" applyFont="1" applyBorder="1" applyAlignment="1">
      <alignment horizontal="center"/>
    </xf>
    <xf numFmtId="0" fontId="44" fillId="0" borderId="23" xfId="0" applyFont="1" applyBorder="1" applyAlignment="1">
      <alignment horizontal="left" vertical="center" wrapText="1"/>
    </xf>
    <xf numFmtId="0" fontId="44" fillId="0" borderId="3" xfId="0" applyFont="1" applyBorder="1" applyAlignment="1">
      <alignment horizontal="left" vertical="center" wrapText="1"/>
    </xf>
    <xf numFmtId="0" fontId="44" fillId="0" borderId="0" xfId="0" applyFont="1" applyBorder="1" applyAlignment="1">
      <alignment horizontal="left" vertical="center" wrapText="1"/>
    </xf>
    <xf numFmtId="0" fontId="49" fillId="0" borderId="0" xfId="0" applyFont="1" applyFill="1" applyBorder="1" applyAlignment="1">
      <alignment horizontal="center" vertical="center" wrapText="1"/>
    </xf>
    <xf numFmtId="0" fontId="49" fillId="0" borderId="0" xfId="0" applyFont="1" applyFill="1" applyBorder="1" applyAlignment="1">
      <alignment horizontal="center" wrapText="1"/>
    </xf>
    <xf numFmtId="166" fontId="49" fillId="0" borderId="0" xfId="0" applyNumberFormat="1" applyFont="1" applyFill="1" applyBorder="1" applyAlignment="1">
      <alignment horizontal="center" wrapText="1"/>
    </xf>
    <xf numFmtId="164" fontId="49" fillId="0" borderId="0" xfId="0" applyNumberFormat="1" applyFont="1" applyFill="1" applyBorder="1" applyAlignment="1">
      <alignment horizontal="center" wrapText="1"/>
    </xf>
    <xf numFmtId="0" fontId="50" fillId="3" borderId="35" xfId="0" applyFont="1" applyFill="1" applyBorder="1" applyAlignment="1">
      <alignment horizontal="right" vertical="center"/>
    </xf>
    <xf numFmtId="0" fontId="50" fillId="3" borderId="36" xfId="0" applyFont="1" applyFill="1" applyBorder="1" applyAlignment="1">
      <alignment horizontal="right" vertical="center"/>
    </xf>
    <xf numFmtId="0" fontId="39" fillId="3" borderId="21" xfId="0" applyFont="1" applyFill="1" applyBorder="1" applyAlignment="1">
      <alignment horizontal="left"/>
    </xf>
    <xf numFmtId="0" fontId="25" fillId="3" borderId="21" xfId="0" applyFont="1" applyFill="1" applyBorder="1" applyAlignment="1">
      <alignment horizontal="left"/>
    </xf>
    <xf numFmtId="0" fontId="39" fillId="3" borderId="16" xfId="0" applyFont="1" applyFill="1" applyBorder="1" applyAlignment="1">
      <alignment horizontal="center"/>
    </xf>
    <xf numFmtId="0" fontId="39" fillId="3" borderId="19" xfId="0" applyFont="1" applyFill="1" applyBorder="1" applyAlignment="1">
      <alignment horizontal="center"/>
    </xf>
    <xf numFmtId="0" fontId="39" fillId="3" borderId="18" xfId="0" applyFont="1" applyFill="1" applyBorder="1" applyAlignment="1">
      <alignment horizontal="center"/>
    </xf>
    <xf numFmtId="0" fontId="44" fillId="0" borderId="16" xfId="0" applyFont="1" applyBorder="1" applyAlignment="1">
      <alignment horizontal="left"/>
    </xf>
    <xf numFmtId="0" fontId="44" fillId="0" borderId="19" xfId="0" applyFont="1" applyBorder="1" applyAlignment="1">
      <alignment horizontal="left"/>
    </xf>
    <xf numFmtId="0" fontId="44" fillId="0" borderId="18" xfId="0" applyFont="1" applyBorder="1" applyAlignment="1">
      <alignment horizontal="left"/>
    </xf>
    <xf numFmtId="0" fontId="50" fillId="0" borderId="16" xfId="0" applyFont="1" applyBorder="1" applyAlignment="1">
      <alignment horizontal="center"/>
    </xf>
    <xf numFmtId="0" fontId="50" fillId="0" borderId="19" xfId="0" applyFont="1" applyBorder="1" applyAlignment="1">
      <alignment horizontal="center"/>
    </xf>
    <xf numFmtId="0" fontId="50" fillId="0" borderId="18" xfId="0" applyFont="1" applyBorder="1" applyAlignment="1">
      <alignment horizontal="center"/>
    </xf>
    <xf numFmtId="0" fontId="3" fillId="3" borderId="1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2" fillId="0" borderId="21" xfId="0" applyFont="1" applyBorder="1" applyAlignment="1">
      <alignment horizontal="left" vertical="center"/>
    </xf>
    <xf numFmtId="0" fontId="34" fillId="0" borderId="21" xfId="0" applyFont="1" applyBorder="1" applyAlignment="1">
      <alignment horizontal="left" vertical="center"/>
    </xf>
    <xf numFmtId="0" fontId="24" fillId="4" borderId="21" xfId="0" applyFont="1" applyFill="1" applyBorder="1" applyAlignment="1">
      <alignment horizontal="left"/>
    </xf>
    <xf numFmtId="0" fontId="50" fillId="0" borderId="21" xfId="0" applyFont="1" applyFill="1" applyBorder="1" applyAlignment="1">
      <alignment horizontal="right" wrapText="1"/>
    </xf>
    <xf numFmtId="0" fontId="49" fillId="0" borderId="21" xfId="0" applyFont="1" applyBorder="1" applyAlignment="1">
      <alignment horizontal="right" wrapText="1"/>
    </xf>
    <xf numFmtId="0" fontId="50" fillId="0" borderId="21" xfId="0" applyFont="1" applyBorder="1" applyAlignment="1">
      <alignment horizontal="left"/>
    </xf>
    <xf numFmtId="0" fontId="50" fillId="0" borderId="21" xfId="0" applyFont="1" applyBorder="1" applyAlignment="1">
      <alignment horizontal="right" wrapText="1"/>
    </xf>
    <xf numFmtId="0" fontId="50" fillId="0" borderId="21" xfId="0" applyFont="1" applyBorder="1" applyAlignment="1">
      <alignment horizontal="center"/>
    </xf>
    <xf numFmtId="0" fontId="50" fillId="3" borderId="21" xfId="0" applyFont="1" applyFill="1" applyBorder="1" applyAlignment="1">
      <alignment horizontal="center" vertical="center"/>
    </xf>
    <xf numFmtId="0" fontId="49" fillId="4" borderId="21" xfId="0" applyFont="1" applyFill="1" applyBorder="1" applyAlignment="1">
      <alignment vertical="center"/>
    </xf>
    <xf numFmtId="0" fontId="49" fillId="0" borderId="21" xfId="0" applyFont="1" applyBorder="1" applyAlignment="1">
      <alignment vertical="center"/>
    </xf>
    <xf numFmtId="0" fontId="49" fillId="0" borderId="21" xfId="0" applyFont="1" applyBorder="1" applyAlignment="1">
      <alignment horizontal="left" vertical="center"/>
    </xf>
    <xf numFmtId="0" fontId="49" fillId="4" borderId="21" xfId="0" applyFont="1" applyFill="1" applyBorder="1" applyAlignment="1">
      <alignment horizontal="left"/>
    </xf>
    <xf numFmtId="0" fontId="49" fillId="4" borderId="21" xfId="0" applyFont="1" applyFill="1" applyBorder="1" applyAlignment="1">
      <alignment horizontal="center" vertical="center"/>
    </xf>
    <xf numFmtId="0" fontId="50" fillId="0" borderId="21" xfId="0" applyFont="1" applyBorder="1" applyAlignment="1">
      <alignment horizontal="right"/>
    </xf>
    <xf numFmtId="0" fontId="50" fillId="3" borderId="21" xfId="0" applyFont="1" applyFill="1" applyBorder="1" applyAlignment="1">
      <alignment horizontal="center"/>
    </xf>
    <xf numFmtId="0" fontId="48" fillId="0" borderId="35" xfId="0" applyFont="1" applyBorder="1" applyAlignment="1">
      <alignment horizontal="center"/>
    </xf>
    <xf numFmtId="0" fontId="48" fillId="0" borderId="36" xfId="0" applyFont="1" applyBorder="1" applyAlignment="1">
      <alignment horizontal="center"/>
    </xf>
    <xf numFmtId="0" fontId="48" fillId="0" borderId="37" xfId="0" applyFont="1" applyBorder="1" applyAlignment="1">
      <alignment horizontal="center"/>
    </xf>
    <xf numFmtId="0" fontId="49" fillId="0" borderId="43" xfId="0" applyFont="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3" borderId="21" xfId="0" applyFont="1" applyFill="1" applyBorder="1" applyAlignment="1">
      <alignment horizontal="right" vertical="center"/>
    </xf>
    <xf numFmtId="0" fontId="50" fillId="3" borderId="21" xfId="0" applyFont="1" applyFill="1" applyBorder="1" applyAlignment="1">
      <alignment horizontal="left"/>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42" builtinId="3"/>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xfId="0" builtinId="0"/>
    <cellStyle name="Note" xfId="37" xr:uid="{00000000-0005-0000-0000-000025000000}"/>
    <cellStyle name="Output" xfId="38" xr:uid="{00000000-0005-0000-0000-000026000000}"/>
    <cellStyle name="Percent" xfId="43" builtinId="5"/>
    <cellStyle name="Title" xfId="39" xr:uid="{00000000-0005-0000-0000-000027000000}"/>
    <cellStyle name="Total" xfId="40" xr:uid="{00000000-0005-0000-0000-000028000000}"/>
    <cellStyle name="Warning Text" xfId="41" xr:uid="{00000000-0005-0000-0000-000029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4"/>
  <sheetViews>
    <sheetView zoomScale="125" zoomScaleNormal="125" workbookViewId="0">
      <pane ySplit="3" topLeftCell="A36" activePane="bottomLeft" state="frozenSplit"/>
      <selection pane="bottomLeft" activeCell="F72" sqref="F72"/>
    </sheetView>
  </sheetViews>
  <sheetFormatPr baseColWidth="10" defaultColWidth="8.83203125" defaultRowHeight="13" x14ac:dyDescent="0.15"/>
  <cols>
    <col min="1" max="1" width="3.33203125" customWidth="1"/>
    <col min="2" max="2" width="38.5" customWidth="1"/>
    <col min="3" max="3" width="12" customWidth="1"/>
    <col min="4" max="4" width="10.1640625" bestFit="1" customWidth="1"/>
    <col min="5" max="5" width="14.6640625" style="220" customWidth="1"/>
    <col min="6" max="6" width="14" customWidth="1"/>
    <col min="7" max="8" width="12.6640625" customWidth="1"/>
    <col min="9" max="9" width="14" style="220" customWidth="1"/>
    <col min="10" max="10" width="14.5" customWidth="1"/>
    <col min="11" max="11" width="14" customWidth="1"/>
    <col min="12" max="12" width="13.83203125" customWidth="1"/>
    <col min="13" max="13" width="14.6640625" style="220" customWidth="1"/>
  </cols>
  <sheetData>
    <row r="1" spans="1:13" ht="19" thickBot="1" x14ac:dyDescent="0.25">
      <c r="A1" s="362" t="s">
        <v>97</v>
      </c>
      <c r="B1" s="363"/>
      <c r="C1" s="363"/>
      <c r="D1" s="363"/>
      <c r="E1" s="363"/>
      <c r="F1" s="363"/>
      <c r="G1" s="363"/>
      <c r="H1" s="363"/>
      <c r="I1" s="363"/>
      <c r="J1" s="363"/>
      <c r="K1" s="363"/>
      <c r="L1" s="363"/>
      <c r="M1" s="363"/>
    </row>
    <row r="2" spans="1:13" ht="44.25" customHeight="1" thickBot="1" x14ac:dyDescent="0.2">
      <c r="A2" s="379" t="s">
        <v>29</v>
      </c>
      <c r="B2" s="380"/>
      <c r="C2" s="380"/>
      <c r="D2" s="380"/>
      <c r="E2" s="380"/>
      <c r="F2" s="380"/>
      <c r="G2" s="380"/>
      <c r="H2" s="380"/>
      <c r="I2" s="380"/>
      <c r="J2" s="380"/>
      <c r="K2" s="380"/>
      <c r="L2" s="380"/>
      <c r="M2" s="380"/>
    </row>
    <row r="3" spans="1:13" ht="18" customHeight="1" x14ac:dyDescent="0.15">
      <c r="A3" s="375" t="s">
        <v>30</v>
      </c>
      <c r="B3" s="376"/>
      <c r="C3" s="55"/>
      <c r="D3" s="18" t="s">
        <v>31</v>
      </c>
      <c r="E3" s="135" t="s">
        <v>104</v>
      </c>
      <c r="F3" s="40">
        <v>44013</v>
      </c>
      <c r="G3" s="25">
        <v>44044</v>
      </c>
      <c r="H3" s="26">
        <v>44075</v>
      </c>
      <c r="I3" s="206" t="s">
        <v>105</v>
      </c>
      <c r="J3" s="40">
        <v>44105</v>
      </c>
      <c r="K3" s="25">
        <v>44136</v>
      </c>
      <c r="L3" s="27">
        <v>44166</v>
      </c>
      <c r="M3" s="206" t="s">
        <v>106</v>
      </c>
    </row>
    <row r="4" spans="1:13" ht="17" customHeight="1" x14ac:dyDescent="0.15">
      <c r="A4" s="370" t="s">
        <v>54</v>
      </c>
      <c r="B4" s="371"/>
      <c r="C4" s="371"/>
      <c r="D4" s="99"/>
      <c r="E4" s="225"/>
      <c r="F4" s="99"/>
      <c r="G4" s="99"/>
      <c r="H4" s="99"/>
      <c r="I4" s="205"/>
      <c r="J4" s="99"/>
      <c r="K4" s="99"/>
      <c r="L4" s="99"/>
      <c r="M4" s="205"/>
    </row>
    <row r="5" spans="1:13" x14ac:dyDescent="0.15">
      <c r="A5" s="148"/>
      <c r="B5" s="372" t="s">
        <v>35</v>
      </c>
      <c r="C5" s="365"/>
      <c r="D5" s="136"/>
      <c r="E5" s="208"/>
      <c r="F5" s="69">
        <f>25</f>
        <v>25</v>
      </c>
      <c r="G5" s="69">
        <v>35</v>
      </c>
      <c r="H5" s="114">
        <v>45</v>
      </c>
      <c r="I5" s="221"/>
      <c r="J5" s="114">
        <v>50</v>
      </c>
      <c r="K5" s="114">
        <v>50</v>
      </c>
      <c r="L5" s="114">
        <v>50</v>
      </c>
      <c r="M5" s="207"/>
    </row>
    <row r="6" spans="1:13" x14ac:dyDescent="0.15">
      <c r="A6" s="148"/>
      <c r="B6" s="373" t="s">
        <v>60</v>
      </c>
      <c r="C6" s="367"/>
      <c r="D6" s="137">
        <v>25</v>
      </c>
      <c r="E6" s="208">
        <f t="shared" ref="E6:E7" si="0">SUM(I6+M6)</f>
        <v>150</v>
      </c>
      <c r="F6" s="242">
        <f>$D$6</f>
        <v>25</v>
      </c>
      <c r="G6" s="242">
        <f t="shared" ref="G6:L6" si="1">$D$6</f>
        <v>25</v>
      </c>
      <c r="H6" s="242">
        <f t="shared" si="1"/>
        <v>25</v>
      </c>
      <c r="I6" s="221">
        <f>SUM(F6:H6)</f>
        <v>75</v>
      </c>
      <c r="J6" s="242">
        <f t="shared" si="1"/>
        <v>25</v>
      </c>
      <c r="K6" s="242">
        <f t="shared" si="1"/>
        <v>25</v>
      </c>
      <c r="L6" s="242">
        <f t="shared" si="1"/>
        <v>25</v>
      </c>
      <c r="M6" s="209">
        <f>SUM(J6:L6)</f>
        <v>75</v>
      </c>
    </row>
    <row r="7" spans="1:13" x14ac:dyDescent="0.15">
      <c r="A7" s="148"/>
      <c r="B7" s="365" t="s">
        <v>3</v>
      </c>
      <c r="C7" s="365"/>
      <c r="D7" s="138"/>
      <c r="E7" s="208">
        <f t="shared" si="0"/>
        <v>6375</v>
      </c>
      <c r="F7" s="115">
        <f>F5*F6</f>
        <v>625</v>
      </c>
      <c r="G7" s="115">
        <f>G5*G6</f>
        <v>875</v>
      </c>
      <c r="H7" s="115">
        <f>H5*H6</f>
        <v>1125</v>
      </c>
      <c r="I7" s="209">
        <f>SUM(F7:H7)</f>
        <v>2625</v>
      </c>
      <c r="J7" s="115">
        <f>J5*J6</f>
        <v>1250</v>
      </c>
      <c r="K7" s="115">
        <f>K5*K6</f>
        <v>1250</v>
      </c>
      <c r="L7" s="115">
        <f>L5*L6</f>
        <v>1250</v>
      </c>
      <c r="M7" s="209">
        <f>SUM(J7:L7)</f>
        <v>3750</v>
      </c>
    </row>
    <row r="8" spans="1:13" x14ac:dyDescent="0.15">
      <c r="A8" s="148"/>
      <c r="B8" s="191" t="s">
        <v>93</v>
      </c>
      <c r="C8" s="193"/>
      <c r="D8" s="194">
        <v>0.42</v>
      </c>
      <c r="E8" s="208"/>
      <c r="F8" s="104"/>
      <c r="G8" s="104"/>
      <c r="H8" s="115"/>
      <c r="I8" s="209"/>
      <c r="J8" s="115"/>
      <c r="K8" s="115"/>
      <c r="L8" s="115"/>
      <c r="M8" s="209"/>
    </row>
    <row r="9" spans="1:13" x14ac:dyDescent="0.15">
      <c r="A9" s="149"/>
      <c r="B9" s="373" t="s">
        <v>63</v>
      </c>
      <c r="C9" s="367"/>
      <c r="D9" s="139">
        <v>0.85</v>
      </c>
      <c r="E9" s="208"/>
      <c r="F9" s="106"/>
      <c r="G9" s="106"/>
      <c r="H9" s="116"/>
      <c r="I9" s="207"/>
      <c r="J9" s="116"/>
      <c r="K9" s="116"/>
      <c r="L9" s="116"/>
      <c r="M9" s="207"/>
    </row>
    <row r="10" spans="1:13" x14ac:dyDescent="0.15">
      <c r="A10" s="149"/>
      <c r="B10" s="368" t="s">
        <v>65</v>
      </c>
      <c r="C10" s="369"/>
      <c r="D10" s="140"/>
      <c r="E10" s="208">
        <f>SUM(I10+M10)</f>
        <v>2275.875</v>
      </c>
      <c r="F10" s="116">
        <f>F7*$D$9*$D$8</f>
        <v>223.125</v>
      </c>
      <c r="G10" s="116">
        <f>G7*$D$9*$D$8</f>
        <v>312.375</v>
      </c>
      <c r="H10" s="116">
        <f>H7*$D$9*$D$8</f>
        <v>401.625</v>
      </c>
      <c r="I10" s="209">
        <f>SUM(F10:H10)</f>
        <v>937.125</v>
      </c>
      <c r="J10" s="116">
        <f>J7*$D$9*$D$8</f>
        <v>446.25</v>
      </c>
      <c r="K10" s="116">
        <f t="shared" ref="K10:L10" si="2">K7*$D$9*$D$8</f>
        <v>446.25</v>
      </c>
      <c r="L10" s="116">
        <f t="shared" si="2"/>
        <v>446.25</v>
      </c>
      <c r="M10" s="209">
        <f t="shared" ref="M10" si="3">SUM(J10:L10)</f>
        <v>1338.75</v>
      </c>
    </row>
    <row r="11" spans="1:13" ht="14" x14ac:dyDescent="0.15">
      <c r="A11" s="149"/>
      <c r="B11" s="122" t="s">
        <v>64</v>
      </c>
      <c r="C11" s="2"/>
      <c r="D11" s="141">
        <v>2</v>
      </c>
      <c r="E11" s="208"/>
      <c r="F11" s="107"/>
      <c r="G11" s="107"/>
      <c r="I11" s="210"/>
      <c r="M11" s="210"/>
    </row>
    <row r="12" spans="1:13" ht="14" x14ac:dyDescent="0.15">
      <c r="A12" s="149"/>
      <c r="B12" s="150" t="s">
        <v>66</v>
      </c>
      <c r="C12" s="2"/>
      <c r="D12" s="142"/>
      <c r="E12" s="208">
        <f>SUM(I12+M12)</f>
        <v>5355</v>
      </c>
      <c r="F12" s="117">
        <f>F7*$D$11*$D$8</f>
        <v>525</v>
      </c>
      <c r="G12" s="117">
        <f>G7*$D$11*$D$8</f>
        <v>735</v>
      </c>
      <c r="H12" s="117">
        <f>H7*$D$11*$D$8</f>
        <v>945</v>
      </c>
      <c r="I12" s="209">
        <f t="shared" ref="I12" si="4">SUM(F12:H12)</f>
        <v>2205</v>
      </c>
      <c r="J12" s="117">
        <f>J7*$D$11*$D$8</f>
        <v>1050</v>
      </c>
      <c r="K12" s="117">
        <f t="shared" ref="K12:L12" si="5">K7*$D$11*$D$8</f>
        <v>1050</v>
      </c>
      <c r="L12" s="117">
        <f t="shared" si="5"/>
        <v>1050</v>
      </c>
      <c r="M12" s="209">
        <f>SUM(J12:L12)</f>
        <v>3150</v>
      </c>
    </row>
    <row r="13" spans="1:13" x14ac:dyDescent="0.15">
      <c r="A13" s="151"/>
      <c r="B13" s="152" t="s">
        <v>61</v>
      </c>
      <c r="C13" s="119">
        <v>1500</v>
      </c>
      <c r="D13" s="143"/>
      <c r="E13" s="208"/>
      <c r="F13" s="110"/>
      <c r="G13" s="110"/>
      <c r="H13" s="118"/>
      <c r="I13" s="211"/>
      <c r="J13" s="118"/>
      <c r="K13" s="118"/>
      <c r="L13" s="118"/>
      <c r="M13" s="211"/>
    </row>
    <row r="14" spans="1:13" x14ac:dyDescent="0.15">
      <c r="A14" s="151"/>
      <c r="B14" s="152" t="s">
        <v>62</v>
      </c>
      <c r="C14" s="119">
        <v>16</v>
      </c>
      <c r="D14" s="144"/>
      <c r="E14" s="208"/>
      <c r="F14" s="110"/>
      <c r="G14" s="110"/>
      <c r="H14" s="118"/>
      <c r="I14" s="211"/>
      <c r="J14" s="118"/>
      <c r="K14" s="118"/>
      <c r="L14" s="118"/>
      <c r="M14" s="211"/>
    </row>
    <row r="15" spans="1:13" ht="17" customHeight="1" x14ac:dyDescent="0.15">
      <c r="A15" s="377" t="s">
        <v>42</v>
      </c>
      <c r="B15" s="378"/>
      <c r="C15" s="378"/>
      <c r="D15" s="141"/>
      <c r="E15" s="225"/>
      <c r="F15" s="99"/>
      <c r="G15" s="99"/>
      <c r="H15" s="99"/>
      <c r="I15" s="205"/>
      <c r="J15" s="99"/>
      <c r="K15" s="99"/>
      <c r="L15" s="99"/>
      <c r="M15" s="205"/>
    </row>
    <row r="16" spans="1:13" ht="14" customHeight="1" x14ac:dyDescent="0.15">
      <c r="A16" s="148"/>
      <c r="B16" s="364" t="s">
        <v>79</v>
      </c>
      <c r="C16" s="365"/>
      <c r="D16" s="145"/>
      <c r="E16" s="226"/>
      <c r="F16" s="120"/>
      <c r="G16" s="69"/>
      <c r="H16" s="69"/>
      <c r="I16" s="222"/>
      <c r="J16" s="120"/>
      <c r="K16" s="120"/>
      <c r="L16" s="120">
        <v>50</v>
      </c>
      <c r="M16" s="209"/>
    </row>
    <row r="17" spans="1:13" ht="14" customHeight="1" x14ac:dyDescent="0.15">
      <c r="A17" s="148"/>
      <c r="B17" s="366" t="s">
        <v>41</v>
      </c>
      <c r="C17" s="367"/>
      <c r="D17" s="238">
        <f>D6</f>
        <v>25</v>
      </c>
      <c r="E17" s="208">
        <f>SUM(I17+M17)</f>
        <v>25</v>
      </c>
      <c r="F17" s="102"/>
      <c r="G17" s="102"/>
      <c r="H17" s="102"/>
      <c r="I17" s="223"/>
      <c r="J17" s="98"/>
      <c r="K17" s="98"/>
      <c r="L17" s="98">
        <f t="shared" ref="L17" si="6">$D$17</f>
        <v>25</v>
      </c>
      <c r="M17" s="209">
        <f>SUM(J17:L17)</f>
        <v>25</v>
      </c>
    </row>
    <row r="18" spans="1:13" ht="14" customHeight="1" x14ac:dyDescent="0.15">
      <c r="A18" s="148"/>
      <c r="B18" s="365" t="s">
        <v>3</v>
      </c>
      <c r="C18" s="365"/>
      <c r="D18" s="146"/>
      <c r="E18" s="208">
        <f>SUM(I18+M18)</f>
        <v>1250</v>
      </c>
      <c r="F18" s="113"/>
      <c r="G18" s="113"/>
      <c r="H18" s="113"/>
      <c r="I18" s="195"/>
      <c r="J18" s="104"/>
      <c r="K18" s="104"/>
      <c r="L18" s="104">
        <f t="shared" ref="L18" si="7">L16*L17</f>
        <v>1250</v>
      </c>
      <c r="M18" s="195">
        <f>SUM(J18:L18)</f>
        <v>1250</v>
      </c>
    </row>
    <row r="19" spans="1:13" ht="14" customHeight="1" x14ac:dyDescent="0.15">
      <c r="A19" s="148"/>
      <c r="B19" s="191" t="s">
        <v>93</v>
      </c>
      <c r="C19" s="193"/>
      <c r="D19" s="194">
        <v>0.9</v>
      </c>
      <c r="E19" s="208"/>
      <c r="F19" s="113"/>
      <c r="G19" s="113"/>
      <c r="H19" s="113"/>
      <c r="I19" s="195"/>
      <c r="J19" s="113"/>
      <c r="K19" s="104"/>
      <c r="L19" s="104"/>
      <c r="M19" s="195"/>
    </row>
    <row r="20" spans="1:13" ht="14" customHeight="1" x14ac:dyDescent="0.15">
      <c r="A20" s="149"/>
      <c r="B20" s="374" t="s">
        <v>82</v>
      </c>
      <c r="C20" s="369"/>
      <c r="E20" s="208">
        <f>SUM(I20+M20)</f>
        <v>956.25</v>
      </c>
      <c r="F20" s="106"/>
      <c r="G20" s="106"/>
      <c r="H20" s="106"/>
      <c r="I20" s="210"/>
      <c r="J20" s="112"/>
      <c r="K20" s="112"/>
      <c r="L20" s="112">
        <f>L18*$D$9*$D$19</f>
        <v>956.25</v>
      </c>
      <c r="M20" s="195">
        <f>SUM(J20:L20)</f>
        <v>956.25</v>
      </c>
    </row>
    <row r="21" spans="1:13" ht="14" customHeight="1" x14ac:dyDescent="0.15">
      <c r="A21" s="151"/>
      <c r="B21" s="374" t="s">
        <v>83</v>
      </c>
      <c r="C21" s="369"/>
      <c r="D21" s="147"/>
      <c r="E21" s="208">
        <f>SUM(I21+M21)</f>
        <v>2250</v>
      </c>
      <c r="F21" s="121"/>
      <c r="G21" s="121"/>
      <c r="H21" s="121"/>
      <c r="I21" s="210"/>
      <c r="J21" s="112"/>
      <c r="K21" s="112"/>
      <c r="L21" s="112">
        <f>L18*$D11*$D$19</f>
        <v>2250</v>
      </c>
      <c r="M21" s="195">
        <f>SUM(J21:L21)</f>
        <v>2250</v>
      </c>
    </row>
    <row r="22" spans="1:13" ht="17" customHeight="1" x14ac:dyDescent="0.15">
      <c r="A22" s="388" t="s">
        <v>71</v>
      </c>
      <c r="B22" s="389"/>
      <c r="C22" s="390"/>
      <c r="D22" s="201"/>
      <c r="E22" s="227"/>
      <c r="F22" s="202"/>
      <c r="G22" s="202"/>
      <c r="H22" s="202"/>
      <c r="I22" s="212"/>
      <c r="J22" s="202"/>
      <c r="K22" s="202"/>
      <c r="L22" s="202"/>
      <c r="M22" s="212"/>
    </row>
    <row r="23" spans="1:13" ht="14" customHeight="1" x14ac:dyDescent="0.15">
      <c r="A23" s="1"/>
      <c r="B23" s="393" t="s">
        <v>68</v>
      </c>
      <c r="C23" s="394"/>
      <c r="D23" s="108"/>
      <c r="E23" s="208">
        <f>SUM(I23+M23)</f>
        <v>3413812.5</v>
      </c>
      <c r="F23" s="125">
        <f>F10*$C$13</f>
        <v>334687.5</v>
      </c>
      <c r="G23" s="125">
        <f>G10*$C$13</f>
        <v>468562.5</v>
      </c>
      <c r="H23" s="125">
        <f>H10*$C$13</f>
        <v>602437.5</v>
      </c>
      <c r="I23" s="209">
        <f t="shared" ref="I23:I25" si="8">SUM(F23:H23)</f>
        <v>1405687.5</v>
      </c>
      <c r="J23" s="125">
        <f>J10*$C$13</f>
        <v>669375</v>
      </c>
      <c r="K23" s="125">
        <f>K10*$C$13</f>
        <v>669375</v>
      </c>
      <c r="L23" s="125">
        <f>L10*$C$13</f>
        <v>669375</v>
      </c>
      <c r="M23" s="195">
        <f t="shared" ref="M23:M29" si="9">SUM(J23:L23)</f>
        <v>2008125</v>
      </c>
    </row>
    <row r="24" spans="1:13" ht="14" customHeight="1" x14ac:dyDescent="0.15">
      <c r="A24" s="1"/>
      <c r="B24" s="393" t="s">
        <v>69</v>
      </c>
      <c r="C24" s="394"/>
      <c r="D24" s="108"/>
      <c r="E24" s="208">
        <f>SUM(I24+M24)</f>
        <v>85680</v>
      </c>
      <c r="F24" s="125">
        <f>F12*$C$14</f>
        <v>8400</v>
      </c>
      <c r="G24" s="125">
        <f>G12*$C$14</f>
        <v>11760</v>
      </c>
      <c r="H24" s="125">
        <f>H12*$C$14</f>
        <v>15120</v>
      </c>
      <c r="I24" s="209">
        <f t="shared" si="8"/>
        <v>35280</v>
      </c>
      <c r="J24" s="125">
        <f>J12*$C$14</f>
        <v>16800</v>
      </c>
      <c r="K24" s="125">
        <f>K12*$C$14</f>
        <v>16800</v>
      </c>
      <c r="L24" s="125">
        <f>L12*$C$14</f>
        <v>16800</v>
      </c>
      <c r="M24" s="195">
        <f t="shared" si="9"/>
        <v>50400</v>
      </c>
    </row>
    <row r="25" spans="1:13" ht="14" customHeight="1" x14ac:dyDescent="0.15">
      <c r="A25" s="1"/>
      <c r="B25" s="54" t="s">
        <v>45</v>
      </c>
      <c r="C25" s="53"/>
      <c r="D25" s="108"/>
      <c r="E25" s="231">
        <f>SUM(I25+M25)</f>
        <v>3499492.5</v>
      </c>
      <c r="F25" s="125">
        <f>F23+F24</f>
        <v>343087.5</v>
      </c>
      <c r="G25" s="125">
        <f t="shared" ref="G25:H25" si="10">G23+G24</f>
        <v>480322.5</v>
      </c>
      <c r="H25" s="125">
        <f t="shared" si="10"/>
        <v>617557.5</v>
      </c>
      <c r="I25" s="209">
        <f t="shared" si="8"/>
        <v>1440967.5</v>
      </c>
      <c r="J25" s="125">
        <f>SUM(J23:J24)</f>
        <v>686175</v>
      </c>
      <c r="K25" s="125">
        <f t="shared" ref="K25:L25" si="11">SUM(K23:K24)</f>
        <v>686175</v>
      </c>
      <c r="L25" s="125">
        <f t="shared" si="11"/>
        <v>686175</v>
      </c>
      <c r="M25" s="195">
        <f t="shared" si="9"/>
        <v>2058525</v>
      </c>
    </row>
    <row r="26" spans="1:13" ht="14" customHeight="1" x14ac:dyDescent="0.15">
      <c r="A26" s="1"/>
      <c r="B26" s="78"/>
      <c r="C26" s="127"/>
      <c r="D26" s="108"/>
      <c r="E26" s="208"/>
      <c r="F26" s="129"/>
      <c r="G26" s="129"/>
      <c r="H26" s="2"/>
      <c r="I26" s="224"/>
      <c r="J26" s="129"/>
      <c r="K26" s="129"/>
      <c r="L26" s="129"/>
      <c r="M26" s="195"/>
    </row>
    <row r="27" spans="1:13" ht="14" customHeight="1" x14ac:dyDescent="0.15">
      <c r="A27" s="1"/>
      <c r="B27" s="78" t="s">
        <v>46</v>
      </c>
      <c r="C27" s="127"/>
      <c r="D27" s="108"/>
      <c r="E27" s="208">
        <f>SUM(I27+M27)</f>
        <v>1434375</v>
      </c>
      <c r="F27" s="129"/>
      <c r="G27" s="129"/>
      <c r="H27" s="125"/>
      <c r="I27" s="224"/>
      <c r="J27" s="129"/>
      <c r="K27" s="129"/>
      <c r="L27" s="129">
        <f t="shared" ref="L27" si="12">L20*$C$13</f>
        <v>1434375</v>
      </c>
      <c r="M27" s="195">
        <f t="shared" si="9"/>
        <v>1434375</v>
      </c>
    </row>
    <row r="28" spans="1:13" ht="14" customHeight="1" x14ac:dyDescent="0.15">
      <c r="A28" s="1"/>
      <c r="B28" s="391" t="s">
        <v>67</v>
      </c>
      <c r="C28" s="392"/>
      <c r="D28" s="108"/>
      <c r="E28" s="208">
        <f>SUM(I28+M28)</f>
        <v>36000</v>
      </c>
      <c r="F28" s="129"/>
      <c r="G28" s="129"/>
      <c r="H28" s="125"/>
      <c r="I28" s="224"/>
      <c r="J28" s="129"/>
      <c r="K28" s="129"/>
      <c r="L28" s="129">
        <f>L21*$C$14</f>
        <v>36000</v>
      </c>
      <c r="M28" s="195">
        <f t="shared" si="9"/>
        <v>36000</v>
      </c>
    </row>
    <row r="29" spans="1:13" ht="14" customHeight="1" x14ac:dyDescent="0.15">
      <c r="A29" s="1"/>
      <c r="B29" s="124" t="s">
        <v>70</v>
      </c>
      <c r="C29" s="128"/>
      <c r="D29" s="108"/>
      <c r="E29" s="208">
        <f>SUM(I29+M29)</f>
        <v>1470375</v>
      </c>
      <c r="F29" s="129"/>
      <c r="G29" s="129"/>
      <c r="H29" s="125"/>
      <c r="I29" s="224"/>
      <c r="J29" s="129"/>
      <c r="K29" s="129"/>
      <c r="L29" s="129">
        <f t="shared" ref="L29" si="13">L27+L28</f>
        <v>1470375</v>
      </c>
      <c r="M29" s="195">
        <f t="shared" si="9"/>
        <v>1470375</v>
      </c>
    </row>
    <row r="30" spans="1:13" ht="14" customHeight="1" x14ac:dyDescent="0.15">
      <c r="A30" s="1"/>
      <c r="B30" s="351"/>
      <c r="C30" s="352"/>
      <c r="D30" s="108"/>
      <c r="E30" s="257"/>
      <c r="F30" s="129"/>
      <c r="G30" s="129"/>
      <c r="H30" s="125"/>
      <c r="I30" s="261"/>
      <c r="J30" s="129"/>
      <c r="K30" s="129"/>
      <c r="L30" s="129"/>
      <c r="M30" s="257"/>
    </row>
    <row r="31" spans="1:13" ht="14" customHeight="1" x14ac:dyDescent="0.15">
      <c r="A31" s="1"/>
      <c r="B31" s="126" t="s">
        <v>72</v>
      </c>
      <c r="D31" s="108"/>
      <c r="E31" s="245">
        <f>SUM(I31+M31)</f>
        <v>4969867.5</v>
      </c>
      <c r="F31" s="353">
        <f>F25</f>
        <v>343087.5</v>
      </c>
      <c r="G31" s="353">
        <f t="shared" ref="G31:H31" si="14">G25</f>
        <v>480322.5</v>
      </c>
      <c r="H31" s="353">
        <f t="shared" si="14"/>
        <v>617557.5</v>
      </c>
      <c r="I31" s="244">
        <f t="shared" ref="I31" si="15">SUM(F31:H31)</f>
        <v>1440967.5</v>
      </c>
      <c r="J31" s="353">
        <f>J25+J29</f>
        <v>686175</v>
      </c>
      <c r="K31" s="353">
        <f t="shared" ref="K31:L31" si="16">K25+K29</f>
        <v>686175</v>
      </c>
      <c r="L31" s="353">
        <f t="shared" si="16"/>
        <v>2156550</v>
      </c>
      <c r="M31" s="245">
        <f>SUM(J31:L31)</f>
        <v>3528900</v>
      </c>
    </row>
    <row r="32" spans="1:13" ht="14" customHeight="1" thickBot="1" x14ac:dyDescent="0.2">
      <c r="A32" s="1"/>
      <c r="B32" s="198"/>
      <c r="C32" s="199"/>
      <c r="D32" s="196"/>
      <c r="E32" s="200"/>
      <c r="F32" s="130"/>
      <c r="G32" s="130"/>
      <c r="H32" s="130"/>
      <c r="I32" s="213"/>
      <c r="J32" s="130"/>
      <c r="K32" s="130"/>
      <c r="L32" s="130"/>
      <c r="M32" s="213"/>
    </row>
    <row r="33" spans="1:13" ht="15.75" customHeight="1" x14ac:dyDescent="0.15">
      <c r="A33" s="383" t="s">
        <v>4</v>
      </c>
      <c r="B33" s="384"/>
      <c r="C33" s="385"/>
      <c r="D33" s="16"/>
      <c r="E33" s="228"/>
      <c r="F33" s="41"/>
      <c r="G33" s="20"/>
      <c r="H33" s="21"/>
      <c r="I33" s="214"/>
      <c r="J33" s="41"/>
      <c r="K33" s="20"/>
      <c r="L33" s="21"/>
      <c r="M33" s="214"/>
    </row>
    <row r="34" spans="1:13" ht="15.75" customHeight="1" x14ac:dyDescent="0.15">
      <c r="A34" s="5"/>
      <c r="B34" s="56" t="s">
        <v>27</v>
      </c>
      <c r="C34" s="57"/>
      <c r="D34" s="58"/>
      <c r="E34" s="229"/>
      <c r="F34" s="61"/>
      <c r="G34" s="59"/>
      <c r="H34" s="60"/>
      <c r="I34" s="215"/>
      <c r="J34" s="61"/>
      <c r="K34" s="59"/>
      <c r="L34" s="60"/>
      <c r="M34" s="215"/>
    </row>
    <row r="35" spans="1:13" x14ac:dyDescent="0.15">
      <c r="A35" s="5"/>
      <c r="B35" s="154" t="s">
        <v>5</v>
      </c>
      <c r="C35" s="70"/>
      <c r="D35" s="9"/>
      <c r="E35" s="208">
        <f>SUM(I35+M35)</f>
        <v>150000</v>
      </c>
      <c r="F35" s="29">
        <v>25000</v>
      </c>
      <c r="G35" s="29">
        <v>25000</v>
      </c>
      <c r="H35" s="29">
        <v>25000</v>
      </c>
      <c r="I35" s="216">
        <f t="shared" ref="I35:I44" si="17">SUM(F35:H35)</f>
        <v>75000</v>
      </c>
      <c r="J35" s="29">
        <v>25000</v>
      </c>
      <c r="K35" s="29">
        <v>25000</v>
      </c>
      <c r="L35" s="29">
        <v>25000</v>
      </c>
      <c r="M35" s="216">
        <f t="shared" ref="M35:M44" si="18">SUM(J35:L35)</f>
        <v>75000</v>
      </c>
    </row>
    <row r="36" spans="1:13" x14ac:dyDescent="0.15">
      <c r="A36" s="28"/>
      <c r="B36" s="154" t="s">
        <v>55</v>
      </c>
      <c r="C36" s="71"/>
      <c r="D36" s="9"/>
      <c r="E36" s="208">
        <f t="shared" ref="E36:E70" si="19">SUM(I36+M36)</f>
        <v>72000</v>
      </c>
      <c r="F36" s="10">
        <v>12000</v>
      </c>
      <c r="G36" s="10">
        <v>12000</v>
      </c>
      <c r="H36" s="10">
        <v>12000</v>
      </c>
      <c r="I36" s="216">
        <f t="shared" si="17"/>
        <v>36000</v>
      </c>
      <c r="J36" s="10">
        <v>12000</v>
      </c>
      <c r="K36" s="10">
        <v>12000</v>
      </c>
      <c r="L36" s="10">
        <v>12000</v>
      </c>
      <c r="M36" s="216">
        <f t="shared" si="18"/>
        <v>36000</v>
      </c>
    </row>
    <row r="37" spans="1:13" x14ac:dyDescent="0.15">
      <c r="A37" s="52"/>
      <c r="B37" s="154" t="s">
        <v>39</v>
      </c>
      <c r="C37" s="51"/>
      <c r="D37" s="9"/>
      <c r="E37" s="208">
        <f t="shared" si="19"/>
        <v>35000</v>
      </c>
      <c r="F37" s="10"/>
      <c r="G37" s="10"/>
      <c r="H37" s="10"/>
      <c r="I37" s="216"/>
      <c r="J37" s="10"/>
      <c r="K37" s="10">
        <v>25000</v>
      </c>
      <c r="L37" s="10">
        <v>10000</v>
      </c>
      <c r="M37" s="216">
        <f t="shared" si="18"/>
        <v>35000</v>
      </c>
    </row>
    <row r="38" spans="1:13" x14ac:dyDescent="0.15">
      <c r="A38" s="28"/>
      <c r="B38" s="154" t="s">
        <v>6</v>
      </c>
      <c r="C38" s="6"/>
      <c r="D38" s="9"/>
      <c r="E38" s="208">
        <f t="shared" si="19"/>
        <v>58000</v>
      </c>
      <c r="F38" s="10">
        <v>8000</v>
      </c>
      <c r="G38" s="10">
        <v>10000</v>
      </c>
      <c r="H38" s="10">
        <v>10000</v>
      </c>
      <c r="I38" s="216">
        <f t="shared" si="17"/>
        <v>28000</v>
      </c>
      <c r="J38" s="10">
        <v>10000</v>
      </c>
      <c r="K38" s="10">
        <v>10000</v>
      </c>
      <c r="L38" s="10">
        <v>10000</v>
      </c>
      <c r="M38" s="216">
        <f t="shared" si="18"/>
        <v>30000</v>
      </c>
    </row>
    <row r="39" spans="1:13" x14ac:dyDescent="0.15">
      <c r="A39" s="5"/>
      <c r="B39" s="154" t="s">
        <v>14</v>
      </c>
      <c r="C39" s="6"/>
      <c r="D39" s="9"/>
      <c r="E39" s="208">
        <f t="shared" si="19"/>
        <v>34000</v>
      </c>
      <c r="F39" s="11">
        <v>2000</v>
      </c>
      <c r="G39" s="11">
        <v>2000</v>
      </c>
      <c r="H39" s="11">
        <v>3000</v>
      </c>
      <c r="I39" s="216">
        <f t="shared" si="17"/>
        <v>7000</v>
      </c>
      <c r="J39" s="11">
        <v>7000</v>
      </c>
      <c r="K39" s="11">
        <v>10000</v>
      </c>
      <c r="L39" s="11">
        <v>10000</v>
      </c>
      <c r="M39" s="216">
        <f t="shared" si="18"/>
        <v>27000</v>
      </c>
    </row>
    <row r="40" spans="1:13" x14ac:dyDescent="0.15">
      <c r="A40" s="5"/>
      <c r="B40" s="154" t="s">
        <v>25</v>
      </c>
      <c r="C40" s="6"/>
      <c r="D40" s="9"/>
      <c r="E40" s="208"/>
      <c r="F40" s="42"/>
      <c r="G40" s="42"/>
      <c r="H40" s="42"/>
      <c r="I40" s="216">
        <f t="shared" si="17"/>
        <v>0</v>
      </c>
      <c r="J40" s="42"/>
      <c r="K40" s="42"/>
      <c r="L40" s="42"/>
      <c r="M40" s="216">
        <f t="shared" si="18"/>
        <v>0</v>
      </c>
    </row>
    <row r="41" spans="1:13" x14ac:dyDescent="0.15">
      <c r="A41" s="47"/>
      <c r="B41" s="154" t="s">
        <v>52</v>
      </c>
      <c r="C41" s="48"/>
      <c r="D41" s="16"/>
      <c r="E41" s="208">
        <f t="shared" si="19"/>
        <v>120000</v>
      </c>
      <c r="F41" s="41">
        <v>45000</v>
      </c>
      <c r="G41" s="41">
        <v>15000</v>
      </c>
      <c r="H41" s="41">
        <v>15000</v>
      </c>
      <c r="I41" s="216">
        <f t="shared" si="17"/>
        <v>75000</v>
      </c>
      <c r="J41" s="41">
        <v>15000</v>
      </c>
      <c r="K41" s="41">
        <v>15000</v>
      </c>
      <c r="L41" s="41">
        <v>15000</v>
      </c>
      <c r="M41" s="216">
        <f t="shared" si="18"/>
        <v>45000</v>
      </c>
    </row>
    <row r="42" spans="1:13" x14ac:dyDescent="0.15">
      <c r="A42" s="50"/>
      <c r="B42" s="154" t="s">
        <v>1</v>
      </c>
      <c r="C42" s="51"/>
      <c r="D42" s="16"/>
      <c r="E42" s="208">
        <f t="shared" si="19"/>
        <v>48000</v>
      </c>
      <c r="F42" s="19">
        <v>8000</v>
      </c>
      <c r="G42" s="19">
        <v>8000</v>
      </c>
      <c r="H42" s="19">
        <v>8000</v>
      </c>
      <c r="I42" s="216">
        <f t="shared" si="17"/>
        <v>24000</v>
      </c>
      <c r="J42" s="19">
        <v>8000</v>
      </c>
      <c r="K42" s="19">
        <v>8000</v>
      </c>
      <c r="L42" s="19">
        <v>8000</v>
      </c>
      <c r="M42" s="216">
        <f t="shared" si="18"/>
        <v>24000</v>
      </c>
    </row>
    <row r="43" spans="1:13" x14ac:dyDescent="0.15">
      <c r="A43" s="50"/>
      <c r="B43" s="155" t="s">
        <v>51</v>
      </c>
      <c r="C43" s="3"/>
      <c r="D43" s="12"/>
      <c r="E43" s="208">
        <f t="shared" si="19"/>
        <v>75000</v>
      </c>
      <c r="F43" s="43">
        <v>2000</v>
      </c>
      <c r="G43" s="43">
        <v>5000</v>
      </c>
      <c r="H43" s="43">
        <v>16000</v>
      </c>
      <c r="I43" s="216">
        <f>SUM(F43:H43)</f>
        <v>23000</v>
      </c>
      <c r="J43" s="43">
        <v>16000</v>
      </c>
      <c r="K43" s="43">
        <v>16000</v>
      </c>
      <c r="L43" s="38">
        <v>20000</v>
      </c>
      <c r="M43" s="216">
        <f>SUM(J43:L43)</f>
        <v>52000</v>
      </c>
    </row>
    <row r="44" spans="1:13" x14ac:dyDescent="0.15">
      <c r="A44" s="4"/>
      <c r="B44" s="155" t="s">
        <v>38</v>
      </c>
      <c r="C44" s="3"/>
      <c r="D44" s="12"/>
      <c r="E44" s="208">
        <f t="shared" si="19"/>
        <v>77000</v>
      </c>
      <c r="F44" s="43">
        <v>5000</v>
      </c>
      <c r="G44" s="43">
        <v>5000</v>
      </c>
      <c r="H44" s="43">
        <v>15000</v>
      </c>
      <c r="I44" s="216">
        <f t="shared" si="17"/>
        <v>25000</v>
      </c>
      <c r="J44" s="43">
        <v>16000</v>
      </c>
      <c r="K44" s="43">
        <v>16000</v>
      </c>
      <c r="L44" s="38">
        <v>20000</v>
      </c>
      <c r="M44" s="216">
        <f t="shared" si="18"/>
        <v>52000</v>
      </c>
    </row>
    <row r="45" spans="1:13" ht="17" customHeight="1" x14ac:dyDescent="0.15">
      <c r="A45" s="5"/>
      <c r="B45" s="72" t="s">
        <v>7</v>
      </c>
      <c r="C45" s="73"/>
      <c r="D45" s="58"/>
      <c r="E45" s="208"/>
      <c r="F45" s="61"/>
      <c r="G45" s="59"/>
      <c r="H45" s="60"/>
      <c r="I45" s="215"/>
      <c r="J45" s="61"/>
      <c r="K45" s="62"/>
      <c r="L45" s="63"/>
      <c r="M45" s="215"/>
    </row>
    <row r="46" spans="1:13" x14ac:dyDescent="0.15">
      <c r="A46" s="5"/>
      <c r="B46" s="154" t="s">
        <v>58</v>
      </c>
      <c r="C46" s="70"/>
      <c r="D46" s="9"/>
      <c r="E46" s="208">
        <f t="shared" si="19"/>
        <v>360000</v>
      </c>
      <c r="F46" s="10">
        <v>360000</v>
      </c>
      <c r="G46" s="10"/>
      <c r="H46" s="13"/>
      <c r="I46" s="216">
        <f>SUM(F46:H46)</f>
        <v>360000</v>
      </c>
      <c r="J46" s="42"/>
      <c r="K46" s="7"/>
      <c r="L46" s="11"/>
      <c r="M46" s="215"/>
    </row>
    <row r="47" spans="1:13" x14ac:dyDescent="0.15">
      <c r="A47" s="5"/>
      <c r="B47" s="154" t="s">
        <v>0</v>
      </c>
      <c r="C47" s="71"/>
      <c r="D47" s="9"/>
      <c r="E47" s="208">
        <f t="shared" si="19"/>
        <v>140000</v>
      </c>
      <c r="F47" s="10">
        <v>140000</v>
      </c>
      <c r="G47" s="10"/>
      <c r="H47" s="13"/>
      <c r="I47" s="216">
        <f>SUM(F47:H47)</f>
        <v>140000</v>
      </c>
      <c r="J47" s="42" t="s">
        <v>48</v>
      </c>
      <c r="K47" s="7" t="s">
        <v>48</v>
      </c>
      <c r="L47" s="11"/>
      <c r="M47" s="215"/>
    </row>
    <row r="48" spans="1:13" x14ac:dyDescent="0.15">
      <c r="A48" s="50"/>
      <c r="B48" s="154" t="s">
        <v>2</v>
      </c>
      <c r="C48" s="71"/>
      <c r="D48" s="9"/>
      <c r="E48" s="208">
        <f t="shared" si="19"/>
        <v>9000</v>
      </c>
      <c r="F48" s="10">
        <v>5000</v>
      </c>
      <c r="G48" s="10"/>
      <c r="H48" s="13">
        <v>2000</v>
      </c>
      <c r="I48" s="216">
        <f>SUM(F48:H48)</f>
        <v>7000</v>
      </c>
      <c r="J48" s="10"/>
      <c r="K48" s="10"/>
      <c r="L48" s="13">
        <v>2000</v>
      </c>
      <c r="M48" s="216">
        <f>SUM(J48:L48)</f>
        <v>2000</v>
      </c>
    </row>
    <row r="49" spans="1:13" x14ac:dyDescent="0.15">
      <c r="A49" s="5"/>
      <c r="B49" s="154" t="s">
        <v>43</v>
      </c>
      <c r="C49" s="49"/>
      <c r="D49" s="9"/>
      <c r="E49" s="208">
        <f t="shared" si="19"/>
        <v>40000</v>
      </c>
      <c r="F49" s="10"/>
      <c r="G49" s="10" t="s">
        <v>48</v>
      </c>
      <c r="H49" s="10">
        <v>40000</v>
      </c>
      <c r="I49" s="216">
        <f>SUM(F49:H49)</f>
        <v>40000</v>
      </c>
      <c r="J49" s="10" t="s">
        <v>48</v>
      </c>
      <c r="K49" s="10" t="s">
        <v>48</v>
      </c>
      <c r="L49" s="10" t="s">
        <v>48</v>
      </c>
      <c r="M49" s="216">
        <f>SUM(J49:L49)</f>
        <v>0</v>
      </c>
    </row>
    <row r="50" spans="1:13" ht="17" customHeight="1" x14ac:dyDescent="0.15">
      <c r="A50" s="5"/>
      <c r="B50" s="56" t="s">
        <v>8</v>
      </c>
      <c r="C50" s="57"/>
      <c r="D50" s="58"/>
      <c r="E50" s="208"/>
      <c r="F50" s="61"/>
      <c r="G50" s="59"/>
      <c r="H50" s="60"/>
      <c r="I50" s="215"/>
      <c r="J50" s="61"/>
      <c r="K50" s="62"/>
      <c r="L50" s="63"/>
      <c r="M50" s="215"/>
    </row>
    <row r="51" spans="1:13" x14ac:dyDescent="0.15">
      <c r="A51" s="5"/>
      <c r="B51" s="154" t="s">
        <v>9</v>
      </c>
      <c r="C51" s="70"/>
      <c r="D51" s="9"/>
      <c r="E51" s="208">
        <f t="shared" si="19"/>
        <v>180000</v>
      </c>
      <c r="F51" s="10">
        <v>25000</v>
      </c>
      <c r="G51" s="10">
        <v>25000</v>
      </c>
      <c r="H51" s="10">
        <v>25000</v>
      </c>
      <c r="I51" s="216">
        <f t="shared" ref="I51:I58" si="20">SUM(F51:H51)</f>
        <v>75000</v>
      </c>
      <c r="J51" s="42">
        <v>35000</v>
      </c>
      <c r="K51" s="42">
        <v>35000</v>
      </c>
      <c r="L51" s="42">
        <v>35000</v>
      </c>
      <c r="M51" s="216">
        <f t="shared" ref="M51:M58" si="21">SUM(J51:L51)</f>
        <v>105000</v>
      </c>
    </row>
    <row r="52" spans="1:13" x14ac:dyDescent="0.15">
      <c r="A52" s="47"/>
      <c r="B52" s="154" t="s">
        <v>49</v>
      </c>
      <c r="C52" s="71"/>
      <c r="D52" s="9"/>
      <c r="E52" s="208">
        <f t="shared" si="19"/>
        <v>250000</v>
      </c>
      <c r="F52" s="10">
        <v>100000</v>
      </c>
      <c r="G52" s="10"/>
      <c r="H52" s="13"/>
      <c r="I52" s="216">
        <f t="shared" si="20"/>
        <v>100000</v>
      </c>
      <c r="J52" s="42"/>
      <c r="K52" s="10">
        <v>150000</v>
      </c>
      <c r="L52" s="13"/>
      <c r="M52" s="216">
        <f t="shared" si="21"/>
        <v>150000</v>
      </c>
    </row>
    <row r="53" spans="1:13" x14ac:dyDescent="0.15">
      <c r="A53" s="47"/>
      <c r="B53" s="154" t="s">
        <v>50</v>
      </c>
      <c r="C53" s="48"/>
      <c r="D53" s="9"/>
      <c r="E53" s="208">
        <f t="shared" si="19"/>
        <v>99000</v>
      </c>
      <c r="F53" s="10">
        <v>99000</v>
      </c>
      <c r="G53" s="10"/>
      <c r="H53" s="13"/>
      <c r="I53" s="216">
        <f t="shared" si="20"/>
        <v>99000</v>
      </c>
      <c r="J53" s="42"/>
      <c r="K53" s="10"/>
      <c r="L53" s="13"/>
      <c r="M53" s="216">
        <f t="shared" si="21"/>
        <v>0</v>
      </c>
    </row>
    <row r="54" spans="1:13" x14ac:dyDescent="0.15">
      <c r="A54" s="5"/>
      <c r="B54" s="154" t="s">
        <v>10</v>
      </c>
      <c r="C54" s="6"/>
      <c r="D54" s="9"/>
      <c r="E54" s="208">
        <f t="shared" si="19"/>
        <v>113000</v>
      </c>
      <c r="F54" s="10">
        <v>40000</v>
      </c>
      <c r="G54" s="10"/>
      <c r="H54" s="13"/>
      <c r="I54" s="216">
        <f t="shared" si="20"/>
        <v>40000</v>
      </c>
      <c r="J54" s="42">
        <v>40000</v>
      </c>
      <c r="K54" s="7">
        <v>33000</v>
      </c>
      <c r="L54" s="11"/>
      <c r="M54" s="216">
        <f t="shared" si="21"/>
        <v>73000</v>
      </c>
    </row>
    <row r="55" spans="1:13" x14ac:dyDescent="0.15">
      <c r="A55" s="5"/>
      <c r="B55" s="154" t="s">
        <v>19</v>
      </c>
      <c r="C55" s="6"/>
      <c r="D55" s="9"/>
      <c r="E55" s="208">
        <f t="shared" si="19"/>
        <v>275000</v>
      </c>
      <c r="F55" s="10">
        <v>275000</v>
      </c>
      <c r="G55" s="10"/>
      <c r="H55" s="13"/>
      <c r="I55" s="216">
        <f t="shared" si="20"/>
        <v>275000</v>
      </c>
      <c r="J55" s="42"/>
      <c r="K55" s="7"/>
      <c r="L55" s="11"/>
      <c r="M55" s="216">
        <f t="shared" si="21"/>
        <v>0</v>
      </c>
    </row>
    <row r="56" spans="1:13" x14ac:dyDescent="0.15">
      <c r="A56" s="5"/>
      <c r="B56" s="154" t="s">
        <v>11</v>
      </c>
      <c r="C56" s="71"/>
      <c r="D56" s="14"/>
      <c r="E56" s="208">
        <f t="shared" si="19"/>
        <v>37000</v>
      </c>
      <c r="F56" s="15">
        <v>12000</v>
      </c>
      <c r="G56" s="15">
        <v>5000</v>
      </c>
      <c r="H56" s="15">
        <v>5000</v>
      </c>
      <c r="I56" s="216">
        <f t="shared" si="20"/>
        <v>22000</v>
      </c>
      <c r="J56" s="15">
        <v>5000</v>
      </c>
      <c r="K56" s="15">
        <v>5000</v>
      </c>
      <c r="L56" s="15">
        <v>5000</v>
      </c>
      <c r="M56" s="216">
        <f t="shared" si="21"/>
        <v>15000</v>
      </c>
    </row>
    <row r="57" spans="1:13" x14ac:dyDescent="0.15">
      <c r="A57" s="5"/>
      <c r="B57" s="154" t="s">
        <v>21</v>
      </c>
      <c r="C57" s="71"/>
      <c r="D57" s="14"/>
      <c r="E57" s="208">
        <f t="shared" si="19"/>
        <v>50000</v>
      </c>
      <c r="F57" s="15"/>
      <c r="G57" s="44"/>
      <c r="H57" s="44"/>
      <c r="I57" s="216">
        <f t="shared" si="20"/>
        <v>0</v>
      </c>
      <c r="J57" s="42"/>
      <c r="K57" s="7"/>
      <c r="L57" s="11">
        <v>50000</v>
      </c>
      <c r="M57" s="216">
        <f t="shared" si="21"/>
        <v>50000</v>
      </c>
    </row>
    <row r="58" spans="1:13" x14ac:dyDescent="0.15">
      <c r="A58" s="5"/>
      <c r="B58" s="154" t="s">
        <v>20</v>
      </c>
      <c r="C58" s="49"/>
      <c r="D58" s="14"/>
      <c r="E58" s="208">
        <f t="shared" si="19"/>
        <v>98000</v>
      </c>
      <c r="F58" s="15">
        <v>8000</v>
      </c>
      <c r="G58" s="15">
        <v>15000</v>
      </c>
      <c r="H58" s="15">
        <v>15000</v>
      </c>
      <c r="I58" s="216">
        <f t="shared" si="20"/>
        <v>38000</v>
      </c>
      <c r="J58" s="15">
        <v>15000</v>
      </c>
      <c r="K58" s="15">
        <v>20000</v>
      </c>
      <c r="L58" s="15">
        <v>25000</v>
      </c>
      <c r="M58" s="216">
        <f t="shared" si="21"/>
        <v>60000</v>
      </c>
    </row>
    <row r="59" spans="1:13" ht="17" customHeight="1" x14ac:dyDescent="0.15">
      <c r="A59" s="5"/>
      <c r="B59" s="72" t="s">
        <v>15</v>
      </c>
      <c r="C59" s="73"/>
      <c r="D59" s="64"/>
      <c r="E59" s="208"/>
      <c r="F59" s="61"/>
      <c r="G59" s="62"/>
      <c r="H59" s="63"/>
      <c r="I59" s="215"/>
      <c r="J59" s="61"/>
      <c r="K59" s="62"/>
      <c r="L59" s="63"/>
      <c r="M59" s="215"/>
    </row>
    <row r="60" spans="1:13" x14ac:dyDescent="0.15">
      <c r="A60" s="5"/>
      <c r="B60" s="154" t="s">
        <v>28</v>
      </c>
      <c r="C60" s="6"/>
      <c r="D60" s="17"/>
      <c r="E60" s="208">
        <f t="shared" si="19"/>
        <v>60000</v>
      </c>
      <c r="F60" s="42">
        <v>10000</v>
      </c>
      <c r="G60" s="7">
        <v>10000</v>
      </c>
      <c r="H60" s="11">
        <v>10000</v>
      </c>
      <c r="I60" s="216">
        <f>SUM(F60:H60)</f>
        <v>30000</v>
      </c>
      <c r="J60" s="42">
        <v>10000</v>
      </c>
      <c r="K60" s="7">
        <v>10000</v>
      </c>
      <c r="L60" s="11">
        <v>10000</v>
      </c>
      <c r="M60" s="216">
        <f>SUM(J60:L60)</f>
        <v>30000</v>
      </c>
    </row>
    <row r="61" spans="1:13" x14ac:dyDescent="0.15">
      <c r="A61" s="5"/>
      <c r="B61" s="154" t="s">
        <v>44</v>
      </c>
      <c r="C61" s="6"/>
      <c r="D61" s="17"/>
      <c r="E61" s="208">
        <f t="shared" si="19"/>
        <v>20000</v>
      </c>
      <c r="F61" s="42">
        <v>10000</v>
      </c>
      <c r="G61" s="7">
        <v>2000</v>
      </c>
      <c r="H61" s="7">
        <v>2000</v>
      </c>
      <c r="I61" s="216">
        <f>SUM(F61:H61)</f>
        <v>14000</v>
      </c>
      <c r="J61" s="7">
        <v>2000</v>
      </c>
      <c r="K61" s="7">
        <v>2000</v>
      </c>
      <c r="L61" s="7">
        <v>2000</v>
      </c>
      <c r="M61" s="216">
        <f>SUM(J61:L61)</f>
        <v>6000</v>
      </c>
    </row>
    <row r="62" spans="1:13" ht="17" customHeight="1" x14ac:dyDescent="0.15">
      <c r="A62" s="4"/>
      <c r="B62" s="74" t="s">
        <v>53</v>
      </c>
      <c r="C62" s="75"/>
      <c r="D62" s="65"/>
      <c r="E62" s="208"/>
      <c r="F62" s="68"/>
      <c r="G62" s="66"/>
      <c r="H62" s="67"/>
      <c r="I62" s="217"/>
      <c r="J62" s="68"/>
      <c r="K62" s="66"/>
      <c r="L62" s="67"/>
      <c r="M62" s="217"/>
    </row>
    <row r="63" spans="1:13" ht="14" x14ac:dyDescent="0.15">
      <c r="A63" s="4"/>
      <c r="B63" s="2" t="s">
        <v>12</v>
      </c>
      <c r="C63" s="3"/>
      <c r="D63" s="2"/>
      <c r="E63" s="208">
        <f t="shared" si="19"/>
        <v>18000</v>
      </c>
      <c r="F63" s="31">
        <v>3000</v>
      </c>
      <c r="G63" s="31">
        <v>3000</v>
      </c>
      <c r="H63" s="31">
        <v>3000</v>
      </c>
      <c r="I63" s="216">
        <f>SUM(F63:H63)</f>
        <v>9000</v>
      </c>
      <c r="J63" s="31">
        <v>3000</v>
      </c>
      <c r="K63" s="31">
        <v>3000</v>
      </c>
      <c r="L63" s="31">
        <v>3000</v>
      </c>
      <c r="M63" s="216">
        <f>SUM(J63:L63)</f>
        <v>9000</v>
      </c>
    </row>
    <row r="64" spans="1:13" ht="14" x14ac:dyDescent="0.15">
      <c r="A64" s="4"/>
      <c r="B64" s="2" t="s">
        <v>13</v>
      </c>
      <c r="C64" s="3"/>
      <c r="D64" s="2"/>
      <c r="E64" s="208">
        <f t="shared" si="19"/>
        <v>15000</v>
      </c>
      <c r="F64" s="31">
        <v>10000</v>
      </c>
      <c r="G64" s="31"/>
      <c r="H64" s="32"/>
      <c r="I64" s="216">
        <f>SUM(F64:H64)</f>
        <v>10000</v>
      </c>
      <c r="J64" s="31">
        <v>5000</v>
      </c>
      <c r="K64" s="31"/>
      <c r="L64" s="32"/>
      <c r="M64" s="216">
        <f>SUM(J64:L64)</f>
        <v>5000</v>
      </c>
    </row>
    <row r="65" spans="1:13" ht="14" x14ac:dyDescent="0.15">
      <c r="A65" s="4"/>
      <c r="B65" s="2" t="s">
        <v>16</v>
      </c>
      <c r="C65" s="3"/>
      <c r="D65" s="2"/>
      <c r="E65" s="208">
        <f t="shared" si="19"/>
        <v>30000</v>
      </c>
      <c r="F65" s="45">
        <f>4000</f>
        <v>4000</v>
      </c>
      <c r="G65" s="31">
        <f>4000</f>
        <v>4000</v>
      </c>
      <c r="H65" s="32">
        <f>4000</f>
        <v>4000</v>
      </c>
      <c r="I65" s="216">
        <f>SUM(F65:H65)</f>
        <v>12000</v>
      </c>
      <c r="J65" s="45">
        <v>6000</v>
      </c>
      <c r="K65" s="45">
        <v>6000</v>
      </c>
      <c r="L65" s="45">
        <v>6000</v>
      </c>
      <c r="M65" s="216">
        <f>SUM(J65:L65)</f>
        <v>18000</v>
      </c>
    </row>
    <row r="66" spans="1:13" ht="14" x14ac:dyDescent="0.15">
      <c r="A66" s="4"/>
      <c r="B66" s="156" t="s">
        <v>24</v>
      </c>
      <c r="C66" s="3"/>
      <c r="D66" s="2"/>
      <c r="E66" s="208">
        <f t="shared" si="19"/>
        <v>120000</v>
      </c>
      <c r="F66" s="45">
        <v>20000</v>
      </c>
      <c r="G66" s="31">
        <v>20000</v>
      </c>
      <c r="H66" s="32">
        <v>20000</v>
      </c>
      <c r="I66" s="216">
        <f>SUM(F66:H66)</f>
        <v>60000</v>
      </c>
      <c r="J66" s="45">
        <v>20000</v>
      </c>
      <c r="K66" s="45">
        <v>20000</v>
      </c>
      <c r="L66" s="45">
        <v>20000</v>
      </c>
      <c r="M66" s="216">
        <f>SUM(J66:L66)</f>
        <v>60000</v>
      </c>
    </row>
    <row r="67" spans="1:13" ht="12" customHeight="1" x14ac:dyDescent="0.15">
      <c r="A67" s="4"/>
      <c r="B67" s="157" t="s">
        <v>96</v>
      </c>
      <c r="C67" s="3"/>
      <c r="D67" s="12"/>
      <c r="E67" s="208">
        <f t="shared" si="19"/>
        <v>76000</v>
      </c>
      <c r="F67" s="43"/>
      <c r="G67" s="33"/>
      <c r="H67" s="34"/>
      <c r="I67" s="216"/>
      <c r="J67" s="45"/>
      <c r="K67" s="132">
        <v>76000</v>
      </c>
      <c r="L67" s="2"/>
      <c r="M67" s="218">
        <f>SUM(J67:K67)</f>
        <v>76000</v>
      </c>
    </row>
    <row r="68" spans="1:13" x14ac:dyDescent="0.15">
      <c r="A68" s="4"/>
      <c r="B68" s="158" t="s">
        <v>22</v>
      </c>
      <c r="C68" s="3"/>
      <c r="D68" s="12"/>
      <c r="E68" s="208">
        <f t="shared" si="19"/>
        <v>10000</v>
      </c>
      <c r="F68" s="43"/>
      <c r="G68" s="30"/>
      <c r="H68" s="38"/>
      <c r="I68" s="216"/>
      <c r="J68" s="43"/>
      <c r="K68" s="38"/>
      <c r="L68" s="133">
        <v>10000</v>
      </c>
      <c r="M68" s="218">
        <f t="shared" ref="M68:M73" si="22">SUM(J68:L68)</f>
        <v>10000</v>
      </c>
    </row>
    <row r="69" spans="1:13" ht="14" x14ac:dyDescent="0.15">
      <c r="A69" s="4"/>
      <c r="B69" s="158" t="s">
        <v>23</v>
      </c>
      <c r="C69" s="3"/>
      <c r="D69" s="12"/>
      <c r="E69" s="208">
        <f t="shared" si="19"/>
        <v>24000</v>
      </c>
      <c r="F69" s="30">
        <v>8000</v>
      </c>
      <c r="G69" s="30">
        <v>8000</v>
      </c>
      <c r="H69" s="38" t="s">
        <v>48</v>
      </c>
      <c r="I69" s="216">
        <f>SUM(F69:H69)</f>
        <v>16000</v>
      </c>
      <c r="J69" s="43" t="s">
        <v>48</v>
      </c>
      <c r="K69" s="30">
        <v>8000</v>
      </c>
      <c r="L69" s="38" t="s">
        <v>48</v>
      </c>
      <c r="M69" s="216">
        <f t="shared" si="22"/>
        <v>8000</v>
      </c>
    </row>
    <row r="70" spans="1:13" ht="23.25" customHeight="1" x14ac:dyDescent="0.15">
      <c r="A70" s="4"/>
      <c r="B70" s="159" t="s">
        <v>26</v>
      </c>
      <c r="C70" s="3"/>
      <c r="D70" s="12"/>
      <c r="E70" s="208">
        <f t="shared" si="19"/>
        <v>90000</v>
      </c>
      <c r="F70" s="30">
        <v>40000</v>
      </c>
      <c r="G70" s="30">
        <v>10000</v>
      </c>
      <c r="H70" s="38">
        <v>10000</v>
      </c>
      <c r="I70" s="356">
        <f>SUM(F70:H70)</f>
        <v>60000</v>
      </c>
      <c r="J70" s="30">
        <v>10000</v>
      </c>
      <c r="K70" s="30">
        <v>10000</v>
      </c>
      <c r="L70" s="38">
        <v>10000</v>
      </c>
      <c r="M70" s="356">
        <f t="shared" si="22"/>
        <v>30000</v>
      </c>
    </row>
    <row r="71" spans="1:13" ht="26" customHeight="1" thickBot="1" x14ac:dyDescent="0.2">
      <c r="A71" s="22"/>
      <c r="B71" s="36" t="s">
        <v>18</v>
      </c>
      <c r="C71" s="8"/>
      <c r="D71" s="23"/>
      <c r="E71" s="208">
        <f>I71+M71</f>
        <v>2783000</v>
      </c>
      <c r="F71" s="354">
        <f>SUM(F35:F70)</f>
        <v>1276000</v>
      </c>
      <c r="G71" s="354">
        <f t="shared" ref="G71:J71" si="23">SUM(G35:G70)</f>
        <v>184000</v>
      </c>
      <c r="H71" s="354">
        <f t="shared" si="23"/>
        <v>240000</v>
      </c>
      <c r="I71" s="355">
        <f t="shared" ref="I71:I73" si="24">SUM(F71:H71)</f>
        <v>1700000</v>
      </c>
      <c r="J71" s="354">
        <f t="shared" si="23"/>
        <v>260000</v>
      </c>
      <c r="K71" s="354">
        <f t="shared" ref="K71" si="25">SUM(K35:K70)</f>
        <v>515000</v>
      </c>
      <c r="L71" s="354">
        <f t="shared" ref="L71" si="26">SUM(L35:L70)</f>
        <v>308000</v>
      </c>
      <c r="M71" s="355">
        <f t="shared" si="22"/>
        <v>1083000</v>
      </c>
    </row>
    <row r="72" spans="1:13" ht="22.5" customHeight="1" thickBot="1" x14ac:dyDescent="0.2">
      <c r="B72" s="233" t="s">
        <v>57</v>
      </c>
      <c r="C72" s="3"/>
      <c r="D72" s="37">
        <v>0.15</v>
      </c>
      <c r="E72" s="208">
        <f>I72+M72</f>
        <v>417450</v>
      </c>
      <c r="F72" s="76">
        <f>$D$72*F71</f>
        <v>191400</v>
      </c>
      <c r="G72" s="76">
        <f t="shared" ref="G72:J72" si="27">$D$72*G71</f>
        <v>27600</v>
      </c>
      <c r="H72" s="76">
        <f t="shared" si="27"/>
        <v>36000</v>
      </c>
      <c r="I72" s="77">
        <f t="shared" si="24"/>
        <v>255000</v>
      </c>
      <c r="J72" s="76">
        <f t="shared" si="27"/>
        <v>39000</v>
      </c>
      <c r="K72" s="76">
        <f t="shared" ref="K72" si="28">$D$72*K71</f>
        <v>77250</v>
      </c>
      <c r="L72" s="76">
        <f t="shared" ref="L72" si="29">$D$72*L71</f>
        <v>46200</v>
      </c>
      <c r="M72" s="77">
        <f t="shared" si="22"/>
        <v>162450</v>
      </c>
    </row>
    <row r="73" spans="1:13" ht="27.75" customHeight="1" thickBot="1" x14ac:dyDescent="0.2">
      <c r="A73" s="386" t="s">
        <v>17</v>
      </c>
      <c r="B73" s="387"/>
      <c r="C73" s="387"/>
      <c r="D73" s="24"/>
      <c r="E73" s="208">
        <f>I73+M73</f>
        <v>1769417.5</v>
      </c>
      <c r="F73" s="134">
        <f t="shared" ref="F73:G73" si="30">+SUM(F31-F71-F72)</f>
        <v>-1124312.5</v>
      </c>
      <c r="G73" s="134">
        <f t="shared" si="30"/>
        <v>268722.5</v>
      </c>
      <c r="H73" s="134">
        <f>(H31-H71-H72)</f>
        <v>341557.5</v>
      </c>
      <c r="I73" s="243">
        <f t="shared" si="24"/>
        <v>-514032.5</v>
      </c>
      <c r="J73" s="131">
        <f>+SUM(J31-J71-J72)</f>
        <v>387175</v>
      </c>
      <c r="K73" s="131">
        <f>+SUM(K31-K71-K72)</f>
        <v>93925</v>
      </c>
      <c r="L73" s="131">
        <f>+SUM(L31-L71-L72)</f>
        <v>1802350</v>
      </c>
      <c r="M73" s="77">
        <f t="shared" si="22"/>
        <v>2283450</v>
      </c>
    </row>
    <row r="74" spans="1:13" ht="25.5" customHeight="1" thickBot="1" x14ac:dyDescent="0.2">
      <c r="A74" s="381"/>
      <c r="B74" s="382"/>
      <c r="C74" s="382"/>
      <c r="D74" s="24"/>
      <c r="E74" s="230"/>
      <c r="F74" s="46"/>
      <c r="G74" s="35"/>
      <c r="H74" s="39"/>
      <c r="I74" s="219"/>
      <c r="J74" s="46"/>
      <c r="K74" s="35"/>
      <c r="L74" s="39"/>
      <c r="M74" s="219"/>
    </row>
  </sheetData>
  <mergeCells count="22">
    <mergeCell ref="B21:C21"/>
    <mergeCell ref="A74:C74"/>
    <mergeCell ref="A33:C33"/>
    <mergeCell ref="A73:C73"/>
    <mergeCell ref="A22:C22"/>
    <mergeCell ref="B28:C28"/>
    <mergeCell ref="B23:C23"/>
    <mergeCell ref="B24:C24"/>
    <mergeCell ref="B20:C20"/>
    <mergeCell ref="A3:B3"/>
    <mergeCell ref="A15:C15"/>
    <mergeCell ref="B18:C18"/>
    <mergeCell ref="A2:M2"/>
    <mergeCell ref="A1:M1"/>
    <mergeCell ref="B16:C16"/>
    <mergeCell ref="B17:C17"/>
    <mergeCell ref="B10:C10"/>
    <mergeCell ref="A4:C4"/>
    <mergeCell ref="B5:C5"/>
    <mergeCell ref="B6:C6"/>
    <mergeCell ref="B7:C7"/>
    <mergeCell ref="B9:C9"/>
  </mergeCells>
  <phoneticPr fontId="43" type="noConversion"/>
  <pageMargins left="0.25" right="0.25" top="0.75" bottom="0.75" header="0.3" footer="0.3"/>
  <pageSetup scale="48" orientation="landscape" horizontalDpi="0" verticalDpi="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0"/>
  <sheetViews>
    <sheetView zoomScaleNormal="100" workbookViewId="0">
      <pane ySplit="3" topLeftCell="A20" activePane="bottomLeft" state="frozen"/>
      <selection pane="bottomLeft" activeCell="O32" sqref="O32"/>
    </sheetView>
  </sheetViews>
  <sheetFormatPr baseColWidth="10" defaultColWidth="8" defaultRowHeight="12.75" customHeight="1" x14ac:dyDescent="0.15"/>
  <cols>
    <col min="1" max="1" width="1.5" style="84" customWidth="1"/>
    <col min="2" max="2" width="26" style="84" customWidth="1"/>
    <col min="3" max="3" width="7.1640625" style="84" customWidth="1"/>
    <col min="4" max="4" width="7" style="88" customWidth="1"/>
    <col min="5" max="5" width="12.6640625" style="97" customWidth="1"/>
    <col min="6" max="10" width="12.6640625" style="84" customWidth="1"/>
    <col min="11" max="11" width="12.6640625" style="288" customWidth="1"/>
    <col min="12" max="12" width="12.6640625" style="289" customWidth="1"/>
    <col min="13" max="15" width="12.6640625" style="287" customWidth="1"/>
    <col min="16" max="16" width="8.1640625" style="84" customWidth="1"/>
    <col min="17" max="17" width="8.6640625" style="84" customWidth="1"/>
    <col min="18" max="18" width="10.5" style="84" customWidth="1"/>
    <col min="19" max="20" width="8.1640625" style="84" customWidth="1"/>
    <col min="21" max="21" width="8.33203125" style="84" customWidth="1"/>
    <col min="22" max="16384" width="8" style="84"/>
  </cols>
  <sheetData>
    <row r="1" spans="1:21" ht="21" customHeight="1" x14ac:dyDescent="0.2">
      <c r="A1" s="395" t="s">
        <v>59</v>
      </c>
      <c r="B1" s="396"/>
      <c r="C1" s="396"/>
      <c r="D1" s="396"/>
      <c r="E1" s="396"/>
      <c r="F1" s="396"/>
      <c r="G1" s="396"/>
      <c r="H1" s="396"/>
      <c r="I1" s="396"/>
      <c r="J1" s="396"/>
      <c r="K1" s="396"/>
      <c r="L1" s="396"/>
      <c r="M1" s="396"/>
      <c r="N1" s="396"/>
      <c r="O1" s="81"/>
      <c r="P1" s="82"/>
      <c r="Q1" s="83"/>
      <c r="T1" s="85"/>
      <c r="U1" s="86"/>
    </row>
    <row r="2" spans="1:21" ht="48" customHeight="1" thickBot="1" x14ac:dyDescent="0.2">
      <c r="A2" s="397" t="s">
        <v>29</v>
      </c>
      <c r="B2" s="398"/>
      <c r="C2" s="398"/>
      <c r="D2" s="399"/>
      <c r="E2" s="399"/>
      <c r="F2" s="399"/>
      <c r="G2" s="399"/>
      <c r="H2" s="399"/>
      <c r="I2" s="399"/>
      <c r="J2" s="399"/>
      <c r="K2" s="399"/>
      <c r="L2" s="399"/>
      <c r="M2" s="399"/>
      <c r="N2" s="399"/>
      <c r="O2" s="269"/>
      <c r="P2" s="400"/>
      <c r="Q2" s="400"/>
      <c r="R2" s="401"/>
      <c r="S2" s="401"/>
      <c r="T2" s="402"/>
      <c r="U2" s="403"/>
    </row>
    <row r="3" spans="1:21" s="88" customFormat="1" ht="15" customHeight="1" x14ac:dyDescent="0.15">
      <c r="A3" s="404" t="s">
        <v>30</v>
      </c>
      <c r="B3" s="405"/>
      <c r="C3" s="87"/>
      <c r="D3" s="179" t="s">
        <v>31</v>
      </c>
      <c r="E3" s="186" t="s">
        <v>36</v>
      </c>
      <c r="F3" s="179" t="s">
        <v>73</v>
      </c>
      <c r="G3" s="179" t="s">
        <v>74</v>
      </c>
      <c r="H3" s="179" t="s">
        <v>75</v>
      </c>
      <c r="I3" s="179" t="s">
        <v>76</v>
      </c>
      <c r="J3" s="180" t="s">
        <v>77</v>
      </c>
      <c r="K3" s="179" t="s">
        <v>99</v>
      </c>
      <c r="L3" s="179" t="s">
        <v>100</v>
      </c>
      <c r="M3" s="179" t="s">
        <v>101</v>
      </c>
      <c r="N3" s="179" t="s">
        <v>102</v>
      </c>
      <c r="O3" s="180" t="s">
        <v>103</v>
      </c>
      <c r="P3" s="82"/>
      <c r="Q3" s="83"/>
      <c r="T3" s="85"/>
      <c r="U3" s="86"/>
    </row>
    <row r="4" spans="1:21" s="88" customFormat="1" ht="13" x14ac:dyDescent="0.15">
      <c r="A4" s="181"/>
      <c r="B4" s="406" t="s">
        <v>54</v>
      </c>
      <c r="C4" s="407"/>
      <c r="D4" s="407"/>
      <c r="E4" s="187"/>
      <c r="F4" s="163"/>
      <c r="G4" s="163"/>
      <c r="H4" s="163"/>
      <c r="I4" s="163"/>
      <c r="J4" s="168"/>
      <c r="K4" s="163"/>
      <c r="L4" s="163"/>
      <c r="M4" s="163"/>
      <c r="N4" s="163"/>
      <c r="O4" s="168"/>
      <c r="P4" s="90"/>
      <c r="Q4" s="83"/>
      <c r="T4" s="85"/>
      <c r="U4" s="86"/>
    </row>
    <row r="5" spans="1:21" s="83" customFormat="1" ht="18" customHeight="1" x14ac:dyDescent="0.15">
      <c r="A5" s="148"/>
      <c r="B5" s="364" t="s">
        <v>88</v>
      </c>
      <c r="C5" s="365"/>
      <c r="D5" s="100"/>
      <c r="E5" s="208">
        <f>SUM(J5+O5)</f>
        <v>100</v>
      </c>
      <c r="F5" s="232"/>
      <c r="G5" s="232"/>
      <c r="H5" s="346">
        <v>25</v>
      </c>
      <c r="I5" s="347">
        <f>SUM(F5:H5)</f>
        <v>25</v>
      </c>
      <c r="J5" s="347">
        <f>SUM(G5:I5)</f>
        <v>50</v>
      </c>
      <c r="K5" s="348">
        <v>50</v>
      </c>
      <c r="L5" s="290"/>
      <c r="M5" s="290"/>
      <c r="N5" s="290"/>
      <c r="O5" s="209">
        <f>SUM(K5:N5)</f>
        <v>50</v>
      </c>
      <c r="P5" s="82"/>
      <c r="T5" s="85"/>
      <c r="U5" s="86"/>
    </row>
    <row r="6" spans="1:21" s="89" customFormat="1" ht="14.25" customHeight="1" x14ac:dyDescent="0.15">
      <c r="A6" s="148"/>
      <c r="B6" s="373" t="s">
        <v>60</v>
      </c>
      <c r="C6" s="367"/>
      <c r="D6" s="137">
        <f>'2020 Monthly CashFlow'!D6</f>
        <v>25</v>
      </c>
      <c r="E6" s="208">
        <f>SUM(L6+O6)</f>
        <v>75</v>
      </c>
      <c r="F6" s="232"/>
      <c r="G6" s="232"/>
      <c r="H6" s="246">
        <f>'2020 Monthly CashFlow'!I6</f>
        <v>75</v>
      </c>
      <c r="I6" s="236">
        <f>'2020 Monthly CashFlow'!M6</f>
        <v>75</v>
      </c>
      <c r="J6" s="207">
        <f>SUM(G6:I6)</f>
        <v>150</v>
      </c>
      <c r="K6" s="270">
        <v>75</v>
      </c>
      <c r="L6" s="270"/>
      <c r="M6" s="270"/>
      <c r="N6" s="270"/>
      <c r="O6" s="209">
        <f>SUM(K6:N6)</f>
        <v>75</v>
      </c>
      <c r="P6" s="83"/>
      <c r="Q6" s="83"/>
      <c r="R6" s="83"/>
      <c r="S6" s="83"/>
      <c r="T6" s="83"/>
      <c r="U6" s="83"/>
    </row>
    <row r="7" spans="1:21" s="89" customFormat="1" ht="13" x14ac:dyDescent="0.15">
      <c r="A7" s="148"/>
      <c r="B7" s="364" t="s">
        <v>89</v>
      </c>
      <c r="C7" s="365"/>
      <c r="D7" s="103"/>
      <c r="E7" s="208">
        <f>SUM(L7+O7)</f>
        <v>3750</v>
      </c>
      <c r="F7" s="232"/>
      <c r="G7" s="232"/>
      <c r="H7" s="236">
        <f>'2020 Monthly CashFlow'!I7</f>
        <v>2625</v>
      </c>
      <c r="I7" s="236">
        <f>'2020 Monthly CashFlow'!M7</f>
        <v>3750</v>
      </c>
      <c r="J7" s="209">
        <f>SUM(F7:I7)</f>
        <v>6375</v>
      </c>
      <c r="K7" s="246">
        <f t="shared" ref="K7" si="0">K5*K6</f>
        <v>3750</v>
      </c>
      <c r="L7" s="246"/>
      <c r="M7" s="246"/>
      <c r="N7" s="246"/>
      <c r="O7" s="207">
        <f>SUM(K7:N7)</f>
        <v>3750</v>
      </c>
      <c r="P7" s="83"/>
      <c r="Q7" s="83"/>
      <c r="R7" s="83"/>
      <c r="S7" s="83"/>
      <c r="T7" s="83"/>
      <c r="U7" s="83"/>
    </row>
    <row r="8" spans="1:21" s="89" customFormat="1" ht="13" x14ac:dyDescent="0.15">
      <c r="A8" s="148"/>
      <c r="B8" s="204" t="s">
        <v>98</v>
      </c>
      <c r="C8" s="203"/>
      <c r="D8" s="237">
        <f>'2020 Monthly CashFlow'!D8</f>
        <v>0.42</v>
      </c>
      <c r="E8" s="208"/>
      <c r="F8" s="232"/>
      <c r="G8" s="232"/>
      <c r="H8" s="236"/>
      <c r="I8" s="236"/>
      <c r="J8" s="209"/>
      <c r="K8" s="246"/>
      <c r="L8" s="246"/>
      <c r="M8" s="246"/>
      <c r="N8" s="246"/>
      <c r="O8" s="209"/>
      <c r="P8" s="83"/>
      <c r="Q8" s="83"/>
      <c r="R8" s="83"/>
      <c r="S8" s="83"/>
      <c r="T8" s="83"/>
      <c r="U8" s="83"/>
    </row>
    <row r="9" spans="1:21" s="89" customFormat="1" ht="12" customHeight="1" x14ac:dyDescent="0.15">
      <c r="A9" s="149"/>
      <c r="B9" s="373" t="s">
        <v>63</v>
      </c>
      <c r="C9" s="367"/>
      <c r="D9" s="105">
        <f>'2020 Monthly CashFlow'!D9</f>
        <v>0.85</v>
      </c>
      <c r="E9" s="208"/>
      <c r="F9" s="234"/>
      <c r="G9" s="234"/>
      <c r="H9" s="247"/>
      <c r="I9" s="247"/>
      <c r="J9" s="207"/>
      <c r="K9" s="270"/>
      <c r="L9" s="270"/>
      <c r="M9" s="262"/>
      <c r="N9" s="93"/>
      <c r="O9" s="209"/>
      <c r="P9" s="83"/>
      <c r="Q9" s="83"/>
      <c r="R9" s="83"/>
      <c r="S9" s="83"/>
      <c r="T9" s="83"/>
      <c r="U9" s="83"/>
    </row>
    <row r="10" spans="1:21" s="83" customFormat="1" ht="13" x14ac:dyDescent="0.15">
      <c r="A10" s="149"/>
      <c r="B10" s="374" t="s">
        <v>82</v>
      </c>
      <c r="C10" s="369"/>
      <c r="D10" s="2"/>
      <c r="E10" s="208">
        <f>SUM(J10+O10)</f>
        <v>3614.625</v>
      </c>
      <c r="F10" s="235"/>
      <c r="G10" s="235"/>
      <c r="H10" s="236">
        <f>'2020 Monthly CashFlow'!I10</f>
        <v>937.125</v>
      </c>
      <c r="I10" s="236">
        <f>'2020 Monthly CashFlow'!M10</f>
        <v>1338.75</v>
      </c>
      <c r="J10" s="209">
        <f t="shared" ref="J10" si="1">SUM(G10:I10)</f>
        <v>2275.875</v>
      </c>
      <c r="K10" s="247">
        <f t="shared" ref="K10" si="2">K7*$D$9*$D$8</f>
        <v>1338.75</v>
      </c>
      <c r="L10" s="247"/>
      <c r="M10" s="247"/>
      <c r="N10" s="247"/>
      <c r="O10" s="207">
        <f>SUM(K10:N10)</f>
        <v>1338.75</v>
      </c>
    </row>
    <row r="11" spans="1:21" ht="14" x14ac:dyDescent="0.15">
      <c r="A11" s="149"/>
      <c r="B11" s="122" t="s">
        <v>64</v>
      </c>
      <c r="C11" s="2"/>
      <c r="D11" s="344">
        <f>'2020 Monthly CashFlow'!D11</f>
        <v>2</v>
      </c>
      <c r="E11" s="208"/>
      <c r="F11" s="236"/>
      <c r="G11" s="235"/>
      <c r="H11" s="248"/>
      <c r="I11" s="248"/>
      <c r="J11" s="210"/>
      <c r="K11" s="271"/>
      <c r="L11" s="271"/>
      <c r="M11" s="262"/>
      <c r="N11" s="93"/>
      <c r="O11" s="209"/>
      <c r="P11" s="83"/>
      <c r="Q11" s="83"/>
      <c r="R11" s="83"/>
      <c r="S11" s="83"/>
      <c r="T11" s="83"/>
      <c r="U11" s="83"/>
    </row>
    <row r="12" spans="1:21" s="83" customFormat="1" ht="14" x14ac:dyDescent="0.15">
      <c r="A12" s="149"/>
      <c r="B12" s="153" t="s">
        <v>85</v>
      </c>
      <c r="C12" s="2"/>
      <c r="D12" s="108"/>
      <c r="E12" s="208">
        <f>SUM(J12+O12)</f>
        <v>8505</v>
      </c>
      <c r="F12" s="235"/>
      <c r="G12" s="235"/>
      <c r="H12" s="236">
        <f>'2020 Monthly CashFlow'!I12</f>
        <v>2205</v>
      </c>
      <c r="I12" s="236">
        <f>'2020 Monthly CashFlow'!M12</f>
        <v>3150</v>
      </c>
      <c r="J12" s="209">
        <f>SUM(G12:I12)</f>
        <v>5355</v>
      </c>
      <c r="K12" s="236">
        <f>'2020 Monthly CashFlow'!M12</f>
        <v>3150</v>
      </c>
      <c r="L12" s="247"/>
      <c r="M12" s="247"/>
      <c r="N12" s="247"/>
      <c r="O12" s="207">
        <f>SUM(K12:N12)</f>
        <v>3150</v>
      </c>
    </row>
    <row r="13" spans="1:21" s="83" customFormat="1" ht="13" x14ac:dyDescent="0.15">
      <c r="A13" s="151"/>
      <c r="B13" s="152" t="s">
        <v>61</v>
      </c>
      <c r="C13" s="119">
        <f>'2020 Monthly CashFlow'!C13</f>
        <v>1500</v>
      </c>
      <c r="D13" s="109"/>
      <c r="E13" s="208"/>
      <c r="F13" s="236"/>
      <c r="G13" s="249"/>
      <c r="H13" s="250"/>
      <c r="I13" s="250"/>
      <c r="J13" s="211"/>
      <c r="K13" s="272"/>
      <c r="L13" s="272"/>
      <c r="M13" s="262"/>
      <c r="N13" s="93"/>
      <c r="O13" s="209"/>
    </row>
    <row r="14" spans="1:21" s="83" customFormat="1" ht="13" x14ac:dyDescent="0.15">
      <c r="A14" s="151"/>
      <c r="B14" s="152" t="s">
        <v>62</v>
      </c>
      <c r="C14" s="119">
        <f>'2020 Monthly CashFlow'!C14</f>
        <v>16</v>
      </c>
      <c r="D14" s="111"/>
      <c r="E14" s="208"/>
      <c r="F14" s="251"/>
      <c r="G14" s="251"/>
      <c r="H14" s="250"/>
      <c r="I14" s="250"/>
      <c r="J14" s="211"/>
      <c r="K14" s="273"/>
      <c r="L14" s="273"/>
      <c r="M14" s="262"/>
      <c r="N14" s="93"/>
      <c r="O14" s="169"/>
    </row>
    <row r="15" spans="1:21" ht="13" x14ac:dyDescent="0.15">
      <c r="A15" s="408" t="s">
        <v>42</v>
      </c>
      <c r="B15" s="409"/>
      <c r="C15" s="410"/>
      <c r="D15" s="99"/>
      <c r="E15" s="225"/>
      <c r="F15" s="251"/>
      <c r="G15" s="251"/>
      <c r="H15" s="252"/>
      <c r="I15" s="252"/>
      <c r="J15" s="241"/>
      <c r="K15" s="274"/>
      <c r="L15" s="274"/>
      <c r="M15" s="262"/>
      <c r="N15" s="93"/>
      <c r="O15" s="169"/>
      <c r="P15" s="83"/>
      <c r="Q15" s="83"/>
      <c r="R15" s="83"/>
      <c r="S15" s="83"/>
      <c r="T15" s="83"/>
      <c r="U15" s="83"/>
    </row>
    <row r="16" spans="1:21" s="83" customFormat="1" ht="18.75" customHeight="1" x14ac:dyDescent="0.15">
      <c r="A16" s="148"/>
      <c r="B16" s="364" t="s">
        <v>88</v>
      </c>
      <c r="C16" s="365"/>
      <c r="D16" s="100"/>
      <c r="E16" s="226"/>
      <c r="F16" s="164"/>
      <c r="G16" s="164"/>
      <c r="H16" s="253"/>
      <c r="I16" s="244">
        <v>50</v>
      </c>
      <c r="J16" s="349"/>
      <c r="K16" s="350">
        <v>50</v>
      </c>
      <c r="L16" s="348">
        <v>100</v>
      </c>
      <c r="M16" s="348">
        <v>100</v>
      </c>
      <c r="N16" s="348">
        <v>100</v>
      </c>
      <c r="O16" s="169">
        <f>SUM(K16:N16)</f>
        <v>350</v>
      </c>
    </row>
    <row r="17" spans="1:21" s="83" customFormat="1" ht="13" x14ac:dyDescent="0.15">
      <c r="A17" s="148"/>
      <c r="B17" s="366" t="s">
        <v>41</v>
      </c>
      <c r="C17" s="367"/>
      <c r="D17" s="101">
        <f>'2020 Monthly CashFlow'!D6</f>
        <v>25</v>
      </c>
      <c r="E17" s="208">
        <f>J17+O17</f>
        <v>175</v>
      </c>
      <c r="F17" s="254"/>
      <c r="G17" s="254"/>
      <c r="H17" s="255"/>
      <c r="I17" s="236">
        <v>75</v>
      </c>
      <c r="J17" s="209">
        <f>SUM(G17:I17)</f>
        <v>75</v>
      </c>
      <c r="K17" s="275">
        <v>25</v>
      </c>
      <c r="L17" s="275">
        <v>25</v>
      </c>
      <c r="M17" s="275">
        <v>25</v>
      </c>
      <c r="N17" s="275">
        <v>25</v>
      </c>
      <c r="O17" s="169">
        <f>SUM(K17:N17)</f>
        <v>100</v>
      </c>
    </row>
    <row r="18" spans="1:21" s="83" customFormat="1" ht="13" x14ac:dyDescent="0.15">
      <c r="A18" s="148"/>
      <c r="B18" s="365" t="s">
        <v>3</v>
      </c>
      <c r="C18" s="365"/>
      <c r="D18" s="171"/>
      <c r="E18" s="208">
        <f t="shared" ref="E18:E21" si="3">J18+O18</f>
        <v>23750</v>
      </c>
      <c r="F18" s="256"/>
      <c r="G18" s="256"/>
      <c r="H18" s="257"/>
      <c r="I18" s="257">
        <v>15000</v>
      </c>
      <c r="J18" s="209">
        <f>SUM(G18:I18)</f>
        <v>15000</v>
      </c>
      <c r="K18" s="93">
        <f t="shared" ref="K18:N18" si="4">K17*K16</f>
        <v>1250</v>
      </c>
      <c r="L18" s="93">
        <f t="shared" si="4"/>
        <v>2500</v>
      </c>
      <c r="M18" s="93">
        <f t="shared" si="4"/>
        <v>2500</v>
      </c>
      <c r="N18" s="93">
        <f t="shared" si="4"/>
        <v>2500</v>
      </c>
      <c r="O18" s="276">
        <f>SUM(K18:N18)</f>
        <v>8750</v>
      </c>
    </row>
    <row r="19" spans="1:21" s="83" customFormat="1" ht="13" x14ac:dyDescent="0.15">
      <c r="A19" s="148"/>
      <c r="B19" s="191" t="s">
        <v>98</v>
      </c>
      <c r="C19" s="193"/>
      <c r="D19" s="197">
        <f>'2020 Monthly CashFlow'!D19</f>
        <v>0.9</v>
      </c>
      <c r="E19" s="208"/>
      <c r="F19" s="256"/>
      <c r="G19" s="256"/>
      <c r="H19" s="257"/>
      <c r="I19" s="257"/>
      <c r="J19" s="209"/>
      <c r="K19" s="93"/>
      <c r="L19" s="93"/>
      <c r="M19" s="93"/>
      <c r="N19" s="93"/>
      <c r="O19" s="276"/>
    </row>
    <row r="20" spans="1:21" ht="13" x14ac:dyDescent="0.15">
      <c r="A20" s="149"/>
      <c r="B20" s="374" t="s">
        <v>80</v>
      </c>
      <c r="C20" s="369"/>
      <c r="D20" s="2"/>
      <c r="E20" s="208">
        <f t="shared" si="3"/>
        <v>17531.75</v>
      </c>
      <c r="F20" s="256"/>
      <c r="G20" s="256"/>
      <c r="H20" s="248"/>
      <c r="I20" s="257">
        <v>10838</v>
      </c>
      <c r="J20" s="209">
        <f t="shared" ref="J20:J21" si="5">SUM(G20:I20)</f>
        <v>10838</v>
      </c>
      <c r="K20" s="93">
        <f>K18*$D$9*$D$19</f>
        <v>956.25</v>
      </c>
      <c r="L20" s="93">
        <f t="shared" ref="L20:N20" si="6">L18*$D$9*$D$19</f>
        <v>1912.5</v>
      </c>
      <c r="M20" s="93">
        <f t="shared" si="6"/>
        <v>1912.5</v>
      </c>
      <c r="N20" s="93">
        <f t="shared" si="6"/>
        <v>1912.5</v>
      </c>
      <c r="O20" s="276">
        <f>SUM(K20:N20)</f>
        <v>6693.75</v>
      </c>
      <c r="P20" s="83"/>
      <c r="Q20" s="83"/>
      <c r="R20" s="83"/>
      <c r="S20" s="83"/>
      <c r="T20" s="83"/>
      <c r="U20" s="83"/>
    </row>
    <row r="21" spans="1:21" ht="13" x14ac:dyDescent="0.15">
      <c r="A21" s="151"/>
      <c r="B21" s="374" t="s">
        <v>81</v>
      </c>
      <c r="C21" s="369"/>
      <c r="D21" s="108"/>
      <c r="E21" s="208">
        <f t="shared" si="3"/>
        <v>41250</v>
      </c>
      <c r="F21" s="256"/>
      <c r="G21" s="256"/>
      <c r="H21" s="248"/>
      <c r="I21" s="257">
        <v>25500</v>
      </c>
      <c r="J21" s="209">
        <f t="shared" si="5"/>
        <v>25500</v>
      </c>
      <c r="K21" s="93">
        <f t="shared" ref="K21:N21" si="7">K18*$D$11*$D$19</f>
        <v>2250</v>
      </c>
      <c r="L21" s="93">
        <f t="shared" si="7"/>
        <v>4500</v>
      </c>
      <c r="M21" s="93">
        <f t="shared" si="7"/>
        <v>4500</v>
      </c>
      <c r="N21" s="93">
        <f t="shared" si="7"/>
        <v>4500</v>
      </c>
      <c r="O21" s="276">
        <f>SUM(K21:N21)</f>
        <v>15750</v>
      </c>
      <c r="P21" s="83"/>
      <c r="Q21" s="83"/>
      <c r="R21" s="83"/>
      <c r="S21" s="83"/>
      <c r="T21" s="83"/>
      <c r="U21" s="83"/>
    </row>
    <row r="22" spans="1:21" ht="13" x14ac:dyDescent="0.15">
      <c r="A22" s="417" t="s">
        <v>71</v>
      </c>
      <c r="B22" s="418"/>
      <c r="C22" s="419"/>
      <c r="D22" s="173"/>
      <c r="E22" s="227"/>
      <c r="F22" s="258"/>
      <c r="G22" s="258"/>
      <c r="H22" s="259"/>
      <c r="I22" s="259"/>
      <c r="J22" s="212"/>
      <c r="K22" s="277"/>
      <c r="L22" s="277"/>
      <c r="M22" s="277"/>
      <c r="N22" s="277"/>
      <c r="O22" s="277"/>
      <c r="P22" s="83"/>
      <c r="Q22" s="83"/>
      <c r="R22" s="83"/>
      <c r="S22" s="83"/>
      <c r="T22" s="83"/>
      <c r="U22" s="83"/>
    </row>
    <row r="23" spans="1:21" ht="13" x14ac:dyDescent="0.15">
      <c r="A23" s="149"/>
      <c r="B23" s="420" t="s">
        <v>68</v>
      </c>
      <c r="C23" s="421"/>
      <c r="D23" s="108"/>
      <c r="E23" s="208"/>
      <c r="F23" s="256"/>
      <c r="G23" s="256"/>
      <c r="H23" s="236">
        <v>1405688</v>
      </c>
      <c r="I23" s="257">
        <v>2008125</v>
      </c>
      <c r="J23" s="245">
        <f>H23+I23</f>
        <v>3413813</v>
      </c>
      <c r="K23" s="93">
        <f t="shared" ref="K23" si="8">K10*$C$13</f>
        <v>2008125</v>
      </c>
      <c r="L23" s="93"/>
      <c r="M23" s="93"/>
      <c r="N23" s="93"/>
      <c r="O23" s="239">
        <f>SUM(K23:N23)</f>
        <v>2008125</v>
      </c>
      <c r="P23" s="82"/>
      <c r="Q23" s="94"/>
      <c r="R23" s="94"/>
      <c r="S23" s="94"/>
      <c r="T23" s="85"/>
      <c r="U23" s="86"/>
    </row>
    <row r="24" spans="1:21" ht="13" x14ac:dyDescent="0.15">
      <c r="A24" s="149"/>
      <c r="B24" s="420" t="s">
        <v>69</v>
      </c>
      <c r="C24" s="421"/>
      <c r="D24" s="108"/>
      <c r="E24" s="208"/>
      <c r="F24" s="256"/>
      <c r="G24" s="256"/>
      <c r="H24" s="236">
        <v>35280</v>
      </c>
      <c r="I24" s="257">
        <v>40320</v>
      </c>
      <c r="J24" s="245">
        <f>H24+I24</f>
        <v>75600</v>
      </c>
      <c r="K24" s="93">
        <f t="shared" ref="K24" si="9">K12*$C$14</f>
        <v>50400</v>
      </c>
      <c r="L24" s="93"/>
      <c r="M24" s="93"/>
      <c r="N24" s="93"/>
      <c r="O24" s="239">
        <f>SUM(K24:N24)</f>
        <v>50400</v>
      </c>
      <c r="P24" s="95"/>
    </row>
    <row r="25" spans="1:21" ht="13" x14ac:dyDescent="0.15">
      <c r="A25" s="149"/>
      <c r="B25" s="182" t="s">
        <v>45</v>
      </c>
      <c r="C25" s="183"/>
      <c r="D25" s="108"/>
      <c r="E25" s="231"/>
      <c r="F25" s="260"/>
      <c r="G25" s="260"/>
      <c r="H25" s="236">
        <f>H23+H24</f>
        <v>1440968</v>
      </c>
      <c r="I25" s="236">
        <f t="shared" ref="I25:J25" si="10">I23+I24</f>
        <v>2048445</v>
      </c>
      <c r="J25" s="244">
        <f t="shared" si="10"/>
        <v>3489413</v>
      </c>
      <c r="K25" s="172">
        <f t="shared" ref="K25" si="11">SUM(K23:K24)</f>
        <v>2058525</v>
      </c>
      <c r="L25" s="93"/>
      <c r="M25" s="93"/>
      <c r="N25" s="93"/>
      <c r="O25" s="291">
        <f t="shared" ref="O25" si="12">SUM(O23:O24)</f>
        <v>2058525</v>
      </c>
      <c r="P25" s="95"/>
    </row>
    <row r="26" spans="1:21" ht="13" x14ac:dyDescent="0.15">
      <c r="A26" s="149"/>
      <c r="B26" s="184"/>
      <c r="C26" s="185"/>
      <c r="D26" s="108"/>
      <c r="E26" s="208"/>
      <c r="F26" s="256"/>
      <c r="G26" s="256"/>
      <c r="H26" s="261"/>
      <c r="I26" s="257"/>
      <c r="J26" s="245"/>
      <c r="K26" s="93"/>
      <c r="L26" s="93"/>
      <c r="M26" s="93"/>
      <c r="N26" s="275"/>
      <c r="O26" s="278"/>
      <c r="P26" s="95"/>
    </row>
    <row r="27" spans="1:21" ht="13" x14ac:dyDescent="0.15">
      <c r="A27" s="149"/>
      <c r="B27" s="184" t="s">
        <v>46</v>
      </c>
      <c r="C27" s="185"/>
      <c r="D27" s="108"/>
      <c r="E27" s="208">
        <f>SUM(J27+O27)</f>
        <v>11395313</v>
      </c>
      <c r="F27" s="256"/>
      <c r="G27" s="256"/>
      <c r="H27" s="261"/>
      <c r="I27" s="257">
        <v>1354688</v>
      </c>
      <c r="J27" s="239">
        <f t="shared" ref="J27:J29" si="13">SUM(F27:I27)</f>
        <v>1354688</v>
      </c>
      <c r="K27" s="93">
        <f>K20*$C$13</f>
        <v>1434375</v>
      </c>
      <c r="L27" s="93">
        <f>L20*$C$13</f>
        <v>2868750</v>
      </c>
      <c r="M27" s="93">
        <f>M20*$C$13</f>
        <v>2868750</v>
      </c>
      <c r="N27" s="93">
        <f>N20*$C$13</f>
        <v>2868750</v>
      </c>
      <c r="O27" s="239">
        <f t="shared" ref="O27:O29" si="14">SUM(K27:N27)</f>
        <v>10040625</v>
      </c>
      <c r="P27" s="95"/>
    </row>
    <row r="28" spans="1:21" s="83" customFormat="1" ht="12" customHeight="1" x14ac:dyDescent="0.15">
      <c r="A28" s="149"/>
      <c r="B28" s="391" t="s">
        <v>67</v>
      </c>
      <c r="C28" s="422"/>
      <c r="D28" s="108"/>
      <c r="E28" s="208">
        <f>SUM(J28+O28)</f>
        <v>286000</v>
      </c>
      <c r="F28" s="167"/>
      <c r="G28" s="167"/>
      <c r="H28" s="261"/>
      <c r="I28" s="257">
        <v>34000</v>
      </c>
      <c r="J28" s="239">
        <f t="shared" si="13"/>
        <v>34000</v>
      </c>
      <c r="K28" s="262">
        <f>K21*$C$14</f>
        <v>36000</v>
      </c>
      <c r="L28" s="262">
        <f>L21*$C$14</f>
        <v>72000</v>
      </c>
      <c r="M28" s="262">
        <f>M21*$C$14</f>
        <v>72000</v>
      </c>
      <c r="N28" s="262">
        <f>N21*$C$14</f>
        <v>72000</v>
      </c>
      <c r="O28" s="239">
        <f t="shared" si="14"/>
        <v>252000</v>
      </c>
      <c r="P28" s="95"/>
      <c r="Q28" s="84"/>
      <c r="R28" s="84"/>
      <c r="S28" s="84"/>
      <c r="T28" s="84"/>
      <c r="U28" s="84"/>
    </row>
    <row r="29" spans="1:21" s="83" customFormat="1" ht="13" x14ac:dyDescent="0.15">
      <c r="A29" s="149"/>
      <c r="B29" s="183" t="s">
        <v>70</v>
      </c>
      <c r="C29" s="79"/>
      <c r="D29" s="108"/>
      <c r="E29" s="293">
        <f>SUM(L29+O29)</f>
        <v>13233375</v>
      </c>
      <c r="F29" s="262"/>
      <c r="G29" s="262"/>
      <c r="H29" s="261"/>
      <c r="I29" s="260">
        <f>I27+I28</f>
        <v>1388688</v>
      </c>
      <c r="J29" s="239">
        <f t="shared" si="13"/>
        <v>1388688</v>
      </c>
      <c r="K29" s="172">
        <f t="shared" ref="K29:N29" si="15">SUM(K27:K28)</f>
        <v>1470375</v>
      </c>
      <c r="L29" s="172">
        <f t="shared" si="15"/>
        <v>2940750</v>
      </c>
      <c r="M29" s="172">
        <f t="shared" si="15"/>
        <v>2940750</v>
      </c>
      <c r="N29" s="172">
        <f t="shared" si="15"/>
        <v>2940750</v>
      </c>
      <c r="O29" s="239">
        <f t="shared" si="14"/>
        <v>10292625</v>
      </c>
      <c r="P29" s="95"/>
      <c r="Q29" s="84"/>
      <c r="R29" s="84"/>
      <c r="S29" s="84"/>
      <c r="T29" s="84"/>
      <c r="U29" s="84"/>
    </row>
    <row r="30" spans="1:21" s="83" customFormat="1" ht="13" x14ac:dyDescent="0.15">
      <c r="A30" s="149"/>
      <c r="B30" s="183"/>
      <c r="C30" s="123"/>
      <c r="D30" s="108"/>
      <c r="E30" s="208"/>
      <c r="F30" s="262"/>
      <c r="G30" s="262"/>
      <c r="H30" s="263"/>
      <c r="I30" s="257"/>
      <c r="J30" s="257"/>
      <c r="K30" s="172"/>
      <c r="L30" s="172"/>
      <c r="M30" s="172"/>
      <c r="N30" s="172"/>
      <c r="O30" s="262"/>
      <c r="P30" s="95"/>
      <c r="Q30" s="84"/>
      <c r="R30" s="84"/>
      <c r="S30" s="84"/>
      <c r="T30" s="84"/>
      <c r="U30" s="84"/>
    </row>
    <row r="31" spans="1:21" s="83" customFormat="1" ht="16.5" customHeight="1" x14ac:dyDescent="0.15">
      <c r="A31" s="149"/>
      <c r="B31" s="80" t="s">
        <v>72</v>
      </c>
      <c r="C31" s="2"/>
      <c r="D31" s="108"/>
      <c r="E31" s="293">
        <f>SUM(L31+O31)</f>
        <v>15291900</v>
      </c>
      <c r="F31" s="262"/>
      <c r="G31" s="262"/>
      <c r="H31" s="262">
        <f>H25</f>
        <v>1440968</v>
      </c>
      <c r="I31" s="262">
        <f>I25+I29</f>
        <v>3437133</v>
      </c>
      <c r="J31" s="294">
        <f>J25+J29</f>
        <v>4878101</v>
      </c>
      <c r="K31" s="292">
        <f t="shared" ref="K31:O31" si="16">K25+K29</f>
        <v>3528900</v>
      </c>
      <c r="L31" s="292">
        <f t="shared" si="16"/>
        <v>2940750</v>
      </c>
      <c r="M31" s="292">
        <f t="shared" si="16"/>
        <v>2940750</v>
      </c>
      <c r="N31" s="292">
        <f>N25+N29</f>
        <v>2940750</v>
      </c>
      <c r="O31" s="294">
        <f t="shared" si="16"/>
        <v>12351150</v>
      </c>
      <c r="P31" s="95"/>
      <c r="Q31" s="84"/>
      <c r="R31" s="84"/>
      <c r="S31" s="84"/>
      <c r="T31" s="84"/>
      <c r="U31" s="84"/>
    </row>
    <row r="32" spans="1:21" s="83" customFormat="1" ht="14" customHeight="1" x14ac:dyDescent="0.15">
      <c r="A32" s="161"/>
      <c r="B32" s="91" t="s">
        <v>84</v>
      </c>
      <c r="C32" s="161"/>
      <c r="D32" s="174"/>
      <c r="E32" s="190">
        <f>J32+O32</f>
        <v>7175600</v>
      </c>
      <c r="F32" s="165"/>
      <c r="G32" s="165"/>
      <c r="H32" s="165">
        <v>1700000</v>
      </c>
      <c r="I32" s="165">
        <v>1053000</v>
      </c>
      <c r="J32" s="178">
        <f>SUM(F32:I32)</f>
        <v>2753000</v>
      </c>
      <c r="K32" s="279">
        <f>$I$32*1.05</f>
        <v>1105650</v>
      </c>
      <c r="L32" s="279">
        <f t="shared" ref="L32:N32" si="17">$I$32*1.05</f>
        <v>1105650</v>
      </c>
      <c r="M32" s="279">
        <f t="shared" si="17"/>
        <v>1105650</v>
      </c>
      <c r="N32" s="279">
        <f t="shared" si="17"/>
        <v>1105650</v>
      </c>
      <c r="O32" s="280">
        <f>SUM(K32:N32)</f>
        <v>4422600</v>
      </c>
      <c r="P32" s="95"/>
      <c r="Q32" s="84"/>
      <c r="R32" s="84"/>
      <c r="S32" s="84"/>
      <c r="T32" s="84"/>
      <c r="U32" s="84"/>
    </row>
    <row r="33" spans="1:21" s="83" customFormat="1" ht="14.25" customHeight="1" x14ac:dyDescent="0.15">
      <c r="A33" s="161"/>
      <c r="B33" s="162" t="s">
        <v>78</v>
      </c>
      <c r="C33" s="161"/>
      <c r="D33" s="175"/>
      <c r="E33" s="190">
        <f>J33+O33</f>
        <v>1076340</v>
      </c>
      <c r="F33" s="264"/>
      <c r="G33" s="264"/>
      <c r="H33" s="264">
        <f t="shared" ref="H33:O33" si="18">H32*0.15</f>
        <v>255000</v>
      </c>
      <c r="I33" s="264">
        <f t="shared" si="18"/>
        <v>157950</v>
      </c>
      <c r="J33" s="178">
        <f>SUM(F33:I33)</f>
        <v>412950</v>
      </c>
      <c r="K33" s="281">
        <f t="shared" si="18"/>
        <v>165847.5</v>
      </c>
      <c r="L33" s="281">
        <f t="shared" si="18"/>
        <v>165847.5</v>
      </c>
      <c r="M33" s="281">
        <f t="shared" si="18"/>
        <v>165847.5</v>
      </c>
      <c r="N33" s="281">
        <f t="shared" si="18"/>
        <v>165847.5</v>
      </c>
      <c r="O33" s="282">
        <f t="shared" si="18"/>
        <v>663390</v>
      </c>
      <c r="P33" s="95"/>
      <c r="Q33" s="84"/>
      <c r="R33" s="84"/>
      <c r="S33" s="84"/>
      <c r="T33" s="84"/>
      <c r="U33" s="84"/>
    </row>
    <row r="34" spans="1:21" s="83" customFormat="1" ht="12" x14ac:dyDescent="0.15">
      <c r="A34" s="414" t="s">
        <v>33</v>
      </c>
      <c r="B34" s="415"/>
      <c r="C34" s="416"/>
      <c r="D34" s="176"/>
      <c r="E34" s="189">
        <f>J34+O34</f>
        <v>8977311</v>
      </c>
      <c r="F34" s="260"/>
      <c r="G34" s="260"/>
      <c r="H34" s="260">
        <f t="shared" ref="H34:J34" si="19">H31-H32-H33</f>
        <v>-514032</v>
      </c>
      <c r="I34" s="260">
        <f t="shared" si="19"/>
        <v>2226183</v>
      </c>
      <c r="J34" s="239">
        <f t="shared" si="19"/>
        <v>1712151</v>
      </c>
      <c r="K34" s="93">
        <f t="shared" ref="K34" si="20">K31-K32-K33</f>
        <v>2257402.5</v>
      </c>
      <c r="L34" s="93">
        <f t="shared" ref="L34" si="21">L31-L32-L33</f>
        <v>1669252.5</v>
      </c>
      <c r="M34" s="93">
        <f t="shared" ref="M34" si="22">M31-M32-M33</f>
        <v>1669252.5</v>
      </c>
      <c r="N34" s="93">
        <f t="shared" ref="N34" si="23">N31-N32-N33</f>
        <v>1669252.5</v>
      </c>
      <c r="O34" s="239">
        <f t="shared" ref="O34" si="24">O31-O32-O33</f>
        <v>7265160</v>
      </c>
      <c r="P34" s="95"/>
      <c r="Q34" s="84"/>
      <c r="R34" s="84"/>
      <c r="S34" s="84"/>
      <c r="T34" s="84"/>
      <c r="U34" s="84"/>
    </row>
    <row r="35" spans="1:21" s="94" customFormat="1" ht="12" x14ac:dyDescent="0.15">
      <c r="A35" s="411"/>
      <c r="B35" s="412"/>
      <c r="C35" s="413"/>
      <c r="D35" s="175"/>
      <c r="E35" s="188"/>
      <c r="F35" s="265"/>
      <c r="G35" s="265"/>
      <c r="H35" s="265"/>
      <c r="I35" s="265"/>
      <c r="J35" s="240"/>
      <c r="K35" s="283"/>
      <c r="L35" s="283"/>
      <c r="M35" s="283"/>
      <c r="N35" s="283"/>
      <c r="O35" s="284"/>
      <c r="P35" s="95"/>
      <c r="Q35" s="84"/>
      <c r="R35" s="84"/>
      <c r="S35" s="84"/>
      <c r="T35" s="84"/>
      <c r="U35" s="84"/>
    </row>
    <row r="36" spans="1:21" ht="12.75" customHeight="1" x14ac:dyDescent="0.15">
      <c r="A36" s="160"/>
      <c r="B36" s="160"/>
      <c r="C36" s="160"/>
      <c r="D36" s="176"/>
      <c r="E36" s="170"/>
      <c r="F36" s="266"/>
      <c r="G36" s="266"/>
      <c r="H36" s="266"/>
      <c r="I36" s="266"/>
      <c r="J36" s="167"/>
      <c r="K36" s="285"/>
      <c r="L36" s="275"/>
      <c r="M36" s="275"/>
      <c r="N36" s="275"/>
      <c r="O36" s="275"/>
      <c r="P36" s="95"/>
    </row>
    <row r="37" spans="1:21" ht="12.75" customHeight="1" x14ac:dyDescent="0.15">
      <c r="E37" s="96"/>
      <c r="F37" s="267"/>
      <c r="G37" s="267"/>
      <c r="H37" s="267"/>
      <c r="I37" s="267"/>
      <c r="J37" s="95"/>
      <c r="K37" s="286"/>
      <c r="L37" s="287"/>
      <c r="P37" s="95"/>
    </row>
    <row r="38" spans="1:21" ht="12.75" customHeight="1" x14ac:dyDescent="0.15">
      <c r="E38" s="96"/>
      <c r="F38" s="267"/>
      <c r="G38" s="267"/>
      <c r="H38" s="267"/>
      <c r="I38" s="267"/>
      <c r="J38" s="95"/>
      <c r="K38" s="286"/>
      <c r="L38" s="287"/>
      <c r="P38" s="95"/>
    </row>
    <row r="39" spans="1:21" ht="12.75" customHeight="1" x14ac:dyDescent="0.15">
      <c r="E39" s="96"/>
      <c r="F39" s="95"/>
      <c r="G39" s="95"/>
      <c r="H39" s="95"/>
      <c r="I39" s="95"/>
      <c r="J39" s="95"/>
      <c r="K39" s="286"/>
      <c r="L39" s="287"/>
      <c r="P39" s="95"/>
    </row>
    <row r="40" spans="1:21" ht="12.75" customHeight="1" x14ac:dyDescent="0.15">
      <c r="E40" s="96"/>
      <c r="F40" s="95"/>
      <c r="G40" s="95"/>
      <c r="H40" s="95"/>
      <c r="I40" s="95"/>
      <c r="J40" s="95"/>
      <c r="K40" s="286"/>
      <c r="L40" s="287"/>
      <c r="P40" s="95"/>
    </row>
    <row r="41" spans="1:21" ht="12.75" customHeight="1" x14ac:dyDescent="0.15">
      <c r="E41" s="96"/>
      <c r="F41" s="95"/>
      <c r="G41" s="95"/>
      <c r="H41" s="95"/>
      <c r="I41" s="95"/>
      <c r="J41" s="95"/>
      <c r="K41" s="286"/>
      <c r="L41" s="287"/>
      <c r="P41" s="95"/>
    </row>
    <row r="42" spans="1:21" ht="12.75" customHeight="1" x14ac:dyDescent="0.15">
      <c r="E42" s="96"/>
      <c r="F42" s="95"/>
      <c r="G42" s="95"/>
      <c r="H42" s="95"/>
      <c r="I42" s="95"/>
      <c r="J42" s="95"/>
      <c r="K42" s="286"/>
      <c r="L42" s="287"/>
      <c r="P42" s="95"/>
    </row>
    <row r="43" spans="1:21" ht="12.75" customHeight="1" x14ac:dyDescent="0.15">
      <c r="E43" s="96"/>
      <c r="F43" s="95"/>
      <c r="G43" s="95"/>
      <c r="H43" s="95"/>
      <c r="I43" s="95"/>
      <c r="J43" s="95"/>
      <c r="K43" s="286"/>
      <c r="L43" s="287"/>
      <c r="P43" s="95"/>
    </row>
    <row r="44" spans="1:21" ht="12.75" customHeight="1" x14ac:dyDescent="0.15">
      <c r="E44" s="96"/>
      <c r="F44" s="95"/>
      <c r="G44" s="95"/>
      <c r="H44" s="95"/>
      <c r="I44" s="95"/>
      <c r="J44" s="95"/>
      <c r="K44" s="286"/>
      <c r="L44" s="287"/>
      <c r="P44" s="95"/>
    </row>
    <row r="45" spans="1:21" ht="12.75" customHeight="1" x14ac:dyDescent="0.15">
      <c r="E45" s="96"/>
      <c r="F45" s="95"/>
      <c r="G45" s="95"/>
      <c r="H45" s="95"/>
      <c r="I45" s="95"/>
      <c r="J45" s="95"/>
      <c r="K45" s="286"/>
      <c r="L45" s="287"/>
      <c r="P45" s="95"/>
    </row>
    <row r="46" spans="1:21" ht="12.75" customHeight="1" x14ac:dyDescent="0.15">
      <c r="E46" s="96"/>
      <c r="F46" s="95"/>
      <c r="G46" s="95"/>
      <c r="H46" s="95"/>
      <c r="I46" s="95"/>
      <c r="J46" s="95"/>
      <c r="K46" s="286"/>
      <c r="L46" s="287"/>
      <c r="P46" s="95"/>
    </row>
    <row r="47" spans="1:21" ht="12.75" customHeight="1" x14ac:dyDescent="0.15">
      <c r="E47" s="96"/>
      <c r="F47" s="95"/>
      <c r="G47" s="95"/>
      <c r="H47" s="95"/>
      <c r="I47" s="95"/>
      <c r="J47" s="95"/>
      <c r="K47" s="286"/>
      <c r="L47" s="287"/>
      <c r="P47" s="95"/>
    </row>
    <row r="48" spans="1:21" ht="12.75" customHeight="1" x14ac:dyDescent="0.15">
      <c r="E48" s="96"/>
      <c r="F48" s="95"/>
      <c r="G48" s="95"/>
      <c r="H48" s="95"/>
      <c r="I48" s="95"/>
      <c r="J48" s="95"/>
      <c r="K48" s="286"/>
      <c r="L48" s="287"/>
      <c r="P48" s="95"/>
    </row>
    <row r="49" spans="5:16" ht="12.75" customHeight="1" x14ac:dyDescent="0.15">
      <c r="E49" s="96"/>
      <c r="F49" s="95"/>
      <c r="G49" s="95"/>
      <c r="H49" s="95"/>
      <c r="I49" s="95"/>
      <c r="J49" s="95"/>
      <c r="K49" s="286"/>
      <c r="L49" s="287"/>
      <c r="P49" s="95"/>
    </row>
    <row r="50" spans="5:16" ht="12.75" customHeight="1" x14ac:dyDescent="0.15">
      <c r="E50" s="96"/>
      <c r="F50" s="95"/>
      <c r="G50" s="95"/>
      <c r="H50" s="95"/>
      <c r="I50" s="95"/>
      <c r="J50" s="95"/>
      <c r="K50" s="286"/>
      <c r="L50" s="287"/>
      <c r="P50" s="95"/>
    </row>
    <row r="51" spans="5:16" ht="12.75" customHeight="1" x14ac:dyDescent="0.15">
      <c r="E51" s="96"/>
      <c r="F51" s="95"/>
      <c r="G51" s="95"/>
      <c r="H51" s="95"/>
      <c r="I51" s="95"/>
      <c r="J51" s="95"/>
      <c r="K51" s="286"/>
      <c r="L51" s="287"/>
      <c r="P51" s="95"/>
    </row>
    <row r="52" spans="5:16" ht="12.75" customHeight="1" x14ac:dyDescent="0.15">
      <c r="E52" s="96"/>
      <c r="F52" s="95"/>
      <c r="G52" s="95"/>
      <c r="H52" s="95"/>
      <c r="I52" s="95"/>
      <c r="J52" s="95"/>
      <c r="K52" s="286"/>
      <c r="L52" s="287"/>
      <c r="P52" s="95"/>
    </row>
    <row r="53" spans="5:16" ht="12.75" customHeight="1" x14ac:dyDescent="0.15">
      <c r="E53" s="96"/>
      <c r="F53" s="95"/>
      <c r="G53" s="95"/>
      <c r="H53" s="95"/>
      <c r="I53" s="95"/>
      <c r="J53" s="95"/>
      <c r="K53" s="286"/>
      <c r="L53" s="287"/>
      <c r="P53" s="95"/>
    </row>
    <row r="54" spans="5:16" ht="12.75" customHeight="1" x14ac:dyDescent="0.15">
      <c r="E54" s="96"/>
      <c r="F54" s="95"/>
      <c r="G54" s="95"/>
      <c r="H54" s="95"/>
      <c r="I54" s="95"/>
      <c r="J54" s="95"/>
      <c r="K54" s="286"/>
      <c r="L54" s="287"/>
      <c r="P54" s="95"/>
    </row>
    <row r="55" spans="5:16" ht="12.75" customHeight="1" x14ac:dyDescent="0.15">
      <c r="E55" s="96"/>
      <c r="F55" s="95"/>
      <c r="G55" s="95"/>
      <c r="H55" s="95"/>
      <c r="I55" s="95"/>
      <c r="J55" s="95"/>
      <c r="K55" s="286"/>
      <c r="L55" s="287"/>
      <c r="P55" s="95"/>
    </row>
    <row r="56" spans="5:16" ht="12.75" customHeight="1" x14ac:dyDescent="0.15">
      <c r="E56" s="96"/>
      <c r="F56" s="95"/>
      <c r="G56" s="95"/>
      <c r="H56" s="95"/>
      <c r="I56" s="95"/>
      <c r="J56" s="95"/>
      <c r="K56" s="286"/>
      <c r="L56" s="287"/>
      <c r="P56" s="95"/>
    </row>
    <row r="57" spans="5:16" ht="12.75" customHeight="1" x14ac:dyDescent="0.15">
      <c r="E57" s="96"/>
      <c r="F57" s="95"/>
      <c r="G57" s="95"/>
      <c r="H57" s="95"/>
      <c r="I57" s="95"/>
      <c r="J57" s="95"/>
      <c r="K57" s="286"/>
      <c r="L57" s="287"/>
      <c r="P57" s="95"/>
    </row>
    <row r="58" spans="5:16" ht="12.75" customHeight="1" x14ac:dyDescent="0.15">
      <c r="E58" s="96"/>
      <c r="F58" s="95"/>
      <c r="G58" s="95"/>
      <c r="H58" s="95"/>
      <c r="I58" s="95"/>
      <c r="J58" s="95"/>
      <c r="K58" s="286"/>
      <c r="L58" s="287"/>
      <c r="P58" s="95"/>
    </row>
    <row r="59" spans="5:16" ht="12.75" customHeight="1" x14ac:dyDescent="0.15">
      <c r="E59" s="96"/>
      <c r="F59" s="95"/>
      <c r="G59" s="95"/>
      <c r="H59" s="95"/>
      <c r="I59" s="95"/>
      <c r="J59" s="95"/>
      <c r="K59" s="286"/>
      <c r="L59" s="287"/>
      <c r="P59" s="95"/>
    </row>
    <row r="60" spans="5:16" ht="12.75" customHeight="1" x14ac:dyDescent="0.15">
      <c r="E60" s="96"/>
      <c r="F60" s="95"/>
      <c r="G60" s="95"/>
      <c r="H60" s="95"/>
      <c r="I60" s="95"/>
      <c r="J60" s="95"/>
      <c r="K60" s="286"/>
      <c r="L60" s="287"/>
    </row>
    <row r="61" spans="5:16" ht="12.75" customHeight="1" x14ac:dyDescent="0.15">
      <c r="E61" s="96"/>
      <c r="F61" s="95"/>
      <c r="G61" s="95"/>
      <c r="H61" s="95"/>
      <c r="I61" s="95"/>
      <c r="J61" s="95"/>
      <c r="K61" s="286"/>
      <c r="L61" s="287"/>
    </row>
    <row r="62" spans="5:16" ht="12.75" customHeight="1" x14ac:dyDescent="0.15">
      <c r="E62" s="96"/>
      <c r="F62" s="95"/>
      <c r="G62" s="95"/>
      <c r="H62" s="95"/>
      <c r="I62" s="95"/>
      <c r="J62" s="95"/>
      <c r="K62" s="286"/>
      <c r="L62" s="287"/>
    </row>
    <row r="63" spans="5:16" ht="12.75" customHeight="1" x14ac:dyDescent="0.15">
      <c r="E63" s="96"/>
      <c r="F63" s="95"/>
      <c r="G63" s="95"/>
      <c r="H63" s="95"/>
      <c r="I63" s="95"/>
      <c r="J63" s="95"/>
      <c r="K63" s="286"/>
      <c r="L63" s="287"/>
    </row>
    <row r="64" spans="5:16" ht="12.75" customHeight="1" x14ac:dyDescent="0.15">
      <c r="E64" s="96"/>
      <c r="F64" s="95"/>
      <c r="G64" s="95"/>
      <c r="H64" s="95"/>
      <c r="I64" s="95"/>
      <c r="J64" s="95"/>
      <c r="K64" s="286"/>
      <c r="L64" s="287"/>
    </row>
    <row r="65" spans="5:12" ht="12.75" customHeight="1" x14ac:dyDescent="0.15">
      <c r="E65" s="96"/>
      <c r="F65" s="95"/>
      <c r="G65" s="95"/>
      <c r="H65" s="95"/>
      <c r="I65" s="95"/>
      <c r="J65" s="95"/>
      <c r="K65" s="286"/>
      <c r="L65" s="287"/>
    </row>
    <row r="66" spans="5:12" ht="12.75" customHeight="1" x14ac:dyDescent="0.15">
      <c r="E66" s="96"/>
      <c r="F66" s="95"/>
      <c r="G66" s="95"/>
      <c r="H66" s="95"/>
      <c r="I66" s="95"/>
      <c r="J66" s="95"/>
      <c r="K66" s="286"/>
      <c r="L66" s="287"/>
    </row>
    <row r="67" spans="5:12" ht="12.75" customHeight="1" x14ac:dyDescent="0.15">
      <c r="E67" s="96"/>
      <c r="F67" s="95"/>
      <c r="G67" s="95"/>
      <c r="H67" s="95"/>
      <c r="I67" s="95"/>
      <c r="J67" s="95"/>
      <c r="K67" s="286"/>
      <c r="L67" s="287"/>
    </row>
    <row r="68" spans="5:12" ht="12.75" customHeight="1" x14ac:dyDescent="0.15">
      <c r="E68" s="96"/>
      <c r="F68" s="95"/>
      <c r="G68" s="95"/>
      <c r="H68" s="95"/>
      <c r="I68" s="95"/>
      <c r="J68" s="95"/>
      <c r="K68" s="286"/>
      <c r="L68" s="287"/>
    </row>
    <row r="69" spans="5:12" ht="12.75" customHeight="1" x14ac:dyDescent="0.15">
      <c r="E69" s="96"/>
      <c r="F69" s="95"/>
      <c r="G69" s="95"/>
      <c r="H69" s="95"/>
      <c r="I69" s="95"/>
      <c r="J69" s="95"/>
      <c r="K69" s="286"/>
      <c r="L69" s="287"/>
    </row>
    <row r="70" spans="5:12" ht="12.75" customHeight="1" x14ac:dyDescent="0.15">
      <c r="E70" s="96"/>
      <c r="F70" s="95"/>
      <c r="G70" s="95"/>
      <c r="H70" s="95"/>
      <c r="I70" s="95"/>
      <c r="J70" s="95"/>
      <c r="K70" s="286"/>
      <c r="L70" s="287"/>
    </row>
  </sheetData>
  <mergeCells count="22">
    <mergeCell ref="A35:C35"/>
    <mergeCell ref="A34:C34"/>
    <mergeCell ref="B17:C17"/>
    <mergeCell ref="B20:C20"/>
    <mergeCell ref="A22:C22"/>
    <mergeCell ref="B23:C23"/>
    <mergeCell ref="B24:C24"/>
    <mergeCell ref="B28:C28"/>
    <mergeCell ref="B21:C21"/>
    <mergeCell ref="B9:C9"/>
    <mergeCell ref="B10:C10"/>
    <mergeCell ref="A15:C15"/>
    <mergeCell ref="B16:C16"/>
    <mergeCell ref="B18:C18"/>
    <mergeCell ref="A1:N1"/>
    <mergeCell ref="A2:N2"/>
    <mergeCell ref="B7:C7"/>
    <mergeCell ref="P2:U2"/>
    <mergeCell ref="A3:B3"/>
    <mergeCell ref="B5:C5"/>
    <mergeCell ref="B4:D4"/>
    <mergeCell ref="B6:C6"/>
  </mergeCells>
  <phoneticPr fontId="0" type="noConversion"/>
  <pageMargins left="0.25" right="0.25" top="0.75" bottom="0.75" header="0.3" footer="0.3"/>
  <pageSetup scale="56" orientation="landscape"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3"/>
  <sheetViews>
    <sheetView tabSelected="1" zoomScale="96" zoomScaleNormal="96" zoomScalePageLayoutView="110" workbookViewId="0">
      <selection activeCell="E45" sqref="E45"/>
    </sheetView>
  </sheetViews>
  <sheetFormatPr baseColWidth="10" defaultColWidth="8.83203125" defaultRowHeight="12" x14ac:dyDescent="0.15"/>
  <cols>
    <col min="1" max="1" width="4.1640625" style="84" customWidth="1"/>
    <col min="2" max="2" width="27.1640625" style="84" customWidth="1"/>
    <col min="3" max="3" width="11.1640625" style="84" customWidth="1"/>
    <col min="4" max="4" width="8.83203125" style="84"/>
    <col min="5" max="5" width="16.5" style="84" customWidth="1"/>
    <col min="6" max="6" width="17.33203125" style="84" customWidth="1"/>
    <col min="7" max="7" width="17.5" style="84" customWidth="1"/>
    <col min="8" max="8" width="16.1640625" style="84" customWidth="1"/>
    <col min="9" max="9" width="15.5" style="84" customWidth="1"/>
    <col min="10" max="10" width="16" style="84" customWidth="1"/>
    <col min="11" max="16384" width="8.83203125" style="84"/>
  </cols>
  <sheetData>
    <row r="1" spans="1:16" ht="13" thickBot="1" x14ac:dyDescent="0.2">
      <c r="A1" s="436" t="s">
        <v>40</v>
      </c>
      <c r="B1" s="437"/>
      <c r="C1" s="437"/>
      <c r="D1" s="437"/>
      <c r="E1" s="437"/>
      <c r="F1" s="437"/>
      <c r="G1" s="437"/>
      <c r="H1" s="437"/>
      <c r="I1" s="437"/>
      <c r="J1" s="438"/>
      <c r="K1" s="90"/>
      <c r="L1" s="83"/>
      <c r="O1" s="85"/>
      <c r="P1" s="86"/>
    </row>
    <row r="2" spans="1:16" ht="55.5" customHeight="1" x14ac:dyDescent="0.15">
      <c r="A2" s="439" t="s">
        <v>29</v>
      </c>
      <c r="B2" s="440"/>
      <c r="C2" s="440"/>
      <c r="D2" s="440"/>
      <c r="E2" s="440"/>
      <c r="F2" s="440"/>
      <c r="G2" s="440"/>
      <c r="H2" s="440"/>
      <c r="I2" s="440"/>
      <c r="J2" s="441"/>
      <c r="K2" s="400"/>
      <c r="L2" s="400"/>
      <c r="M2" s="401"/>
      <c r="N2" s="401"/>
      <c r="O2" s="402"/>
      <c r="P2" s="403"/>
    </row>
    <row r="3" spans="1:16" x14ac:dyDescent="0.15">
      <c r="A3" s="442" t="s">
        <v>30</v>
      </c>
      <c r="B3" s="442"/>
      <c r="C3" s="176"/>
      <c r="D3" s="163" t="s">
        <v>31</v>
      </c>
      <c r="E3" s="168" t="s">
        <v>47</v>
      </c>
      <c r="F3" s="168">
        <v>2020</v>
      </c>
      <c r="G3" s="168">
        <f>F3+1</f>
        <v>2021</v>
      </c>
      <c r="H3" s="168">
        <f>G3+1</f>
        <v>2022</v>
      </c>
      <c r="I3" s="168">
        <f>H3+1</f>
        <v>2023</v>
      </c>
      <c r="J3" s="168">
        <f>I3+1</f>
        <v>2024</v>
      </c>
    </row>
    <row r="4" spans="1:16" ht="17.25" customHeight="1" x14ac:dyDescent="0.15">
      <c r="A4" s="192"/>
      <c r="B4" s="443" t="s">
        <v>54</v>
      </c>
      <c r="C4" s="443"/>
      <c r="D4" s="443"/>
      <c r="E4" s="335"/>
      <c r="F4" s="266"/>
      <c r="G4" s="266"/>
      <c r="H4" s="266"/>
      <c r="I4" s="266"/>
      <c r="J4" s="266"/>
    </row>
    <row r="5" spans="1:16" x14ac:dyDescent="0.15">
      <c r="A5" s="299"/>
      <c r="B5" s="429" t="s">
        <v>90</v>
      </c>
      <c r="C5" s="429"/>
      <c r="D5" s="300"/>
      <c r="E5" s="335"/>
      <c r="F5" s="301"/>
      <c r="G5" s="301"/>
      <c r="H5" s="302">
        <v>200</v>
      </c>
      <c r="I5" s="302">
        <v>400</v>
      </c>
      <c r="J5" s="302">
        <v>400</v>
      </c>
    </row>
    <row r="6" spans="1:16" x14ac:dyDescent="0.15">
      <c r="A6" s="299"/>
      <c r="B6" s="430" t="s">
        <v>86</v>
      </c>
      <c r="C6" s="430"/>
      <c r="D6" s="303">
        <v>25</v>
      </c>
      <c r="E6" s="335"/>
      <c r="F6" s="304"/>
      <c r="G6" s="304"/>
      <c r="H6" s="304"/>
      <c r="I6" s="304"/>
      <c r="J6" s="304"/>
    </row>
    <row r="7" spans="1:16" x14ac:dyDescent="0.15">
      <c r="A7" s="299"/>
      <c r="B7" s="429" t="s">
        <v>87</v>
      </c>
      <c r="C7" s="429"/>
      <c r="D7" s="305"/>
      <c r="E7" s="336">
        <f>SUM(F7:J7)</f>
        <v>310125</v>
      </c>
      <c r="F7" s="304">
        <f>'2 Yr Quarterly'!J7</f>
        <v>6375</v>
      </c>
      <c r="G7" s="304">
        <f>'2 Yr Quarterly'!O7</f>
        <v>3750</v>
      </c>
      <c r="H7" s="306">
        <f>200*25*4*3</f>
        <v>60000</v>
      </c>
      <c r="I7" s="306">
        <f>200*25*4*3*2</f>
        <v>120000</v>
      </c>
      <c r="J7" s="306">
        <f>200*25*4*3*2</f>
        <v>120000</v>
      </c>
      <c r="K7" s="90"/>
      <c r="L7" s="83"/>
      <c r="M7" s="83"/>
      <c r="N7" s="83"/>
      <c r="O7" s="85"/>
    </row>
    <row r="8" spans="1:16" x14ac:dyDescent="0.15">
      <c r="A8" s="299"/>
      <c r="B8" s="307" t="s">
        <v>95</v>
      </c>
      <c r="C8" s="307"/>
      <c r="D8" s="308">
        <f>'2020 Monthly CashFlow'!D8</f>
        <v>0.42</v>
      </c>
      <c r="E8" s="337"/>
      <c r="F8" s="309"/>
      <c r="G8" s="309"/>
      <c r="H8" s="309"/>
      <c r="I8" s="309"/>
      <c r="J8" s="309"/>
      <c r="K8" s="90"/>
      <c r="L8" s="83"/>
      <c r="M8" s="83"/>
      <c r="N8" s="83"/>
      <c r="O8" s="85"/>
    </row>
    <row r="9" spans="1:16" x14ac:dyDescent="0.15">
      <c r="A9" s="91"/>
      <c r="B9" s="430" t="s">
        <v>63</v>
      </c>
      <c r="C9" s="430"/>
      <c r="D9" s="310">
        <f>'2020 Monthly CashFlow'!D9</f>
        <v>0.85</v>
      </c>
      <c r="E9" s="337"/>
      <c r="F9" s="311"/>
      <c r="G9" s="311"/>
      <c r="H9" s="311"/>
      <c r="I9" s="92"/>
      <c r="J9" s="92"/>
      <c r="K9" s="83"/>
      <c r="L9" s="83"/>
      <c r="M9" s="83"/>
      <c r="N9" s="83"/>
      <c r="O9" s="83"/>
    </row>
    <row r="10" spans="1:16" x14ac:dyDescent="0.15">
      <c r="A10" s="91"/>
      <c r="B10" s="433" t="s">
        <v>82</v>
      </c>
      <c r="C10" s="433"/>
      <c r="D10" s="160"/>
      <c r="E10" s="336">
        <f>SUM(F10:J10)</f>
        <v>110714.625</v>
      </c>
      <c r="F10" s="306">
        <f>F7*$D$9*$D$8</f>
        <v>2275.875</v>
      </c>
      <c r="G10" s="306">
        <f t="shared" ref="G10:J10" si="0">G7*$D$9*$D$8</f>
        <v>1338.75</v>
      </c>
      <c r="H10" s="306">
        <f t="shared" si="0"/>
        <v>21420</v>
      </c>
      <c r="I10" s="306">
        <f t="shared" si="0"/>
        <v>42840</v>
      </c>
      <c r="J10" s="306">
        <f t="shared" si="0"/>
        <v>42840</v>
      </c>
      <c r="K10" s="83"/>
      <c r="L10" s="83"/>
      <c r="M10" s="83"/>
      <c r="N10" s="83"/>
      <c r="O10" s="83"/>
    </row>
    <row r="11" spans="1:16" ht="13" x14ac:dyDescent="0.15">
      <c r="A11" s="91"/>
      <c r="B11" s="160" t="s">
        <v>64</v>
      </c>
      <c r="C11" s="160"/>
      <c r="D11" s="345">
        <f>'2020 Monthly CashFlow'!D11</f>
        <v>2</v>
      </c>
      <c r="E11" s="338"/>
      <c r="F11" s="313"/>
      <c r="G11" s="313"/>
      <c r="H11" s="313"/>
      <c r="I11" s="313"/>
      <c r="J11" s="172"/>
      <c r="K11" s="83"/>
      <c r="L11" s="83"/>
      <c r="M11" s="83"/>
      <c r="N11" s="83"/>
      <c r="O11" s="83"/>
    </row>
    <row r="12" spans="1:16" ht="13" x14ac:dyDescent="0.15">
      <c r="A12" s="91"/>
      <c r="B12" s="314" t="s">
        <v>85</v>
      </c>
      <c r="C12" s="160"/>
      <c r="D12" s="176"/>
      <c r="E12" s="336">
        <f>SUM(F12:J12)</f>
        <v>260505</v>
      </c>
      <c r="F12" s="315">
        <f>F7*$D$11*$D$8</f>
        <v>5355</v>
      </c>
      <c r="G12" s="315">
        <f t="shared" ref="G12:J12" si="1">G7*$D$11*$D$8</f>
        <v>3150</v>
      </c>
      <c r="H12" s="315">
        <f t="shared" si="1"/>
        <v>50400</v>
      </c>
      <c r="I12" s="315">
        <f t="shared" si="1"/>
        <v>100800</v>
      </c>
      <c r="J12" s="315">
        <f t="shared" si="1"/>
        <v>100800</v>
      </c>
      <c r="K12" s="83"/>
      <c r="L12" s="83"/>
      <c r="M12" s="83"/>
      <c r="N12" s="83"/>
      <c r="O12" s="83"/>
    </row>
    <row r="13" spans="1:16" x14ac:dyDescent="0.15">
      <c r="A13" s="160"/>
      <c r="B13" s="316" t="s">
        <v>61</v>
      </c>
      <c r="C13" s="317">
        <f>'2020 Monthly CashFlow'!C13</f>
        <v>1500</v>
      </c>
      <c r="D13" s="318"/>
      <c r="E13" s="338"/>
      <c r="F13" s="319"/>
      <c r="G13" s="319"/>
      <c r="H13" s="319"/>
      <c r="I13" s="91"/>
      <c r="J13" s="91"/>
      <c r="K13" s="83"/>
      <c r="L13" s="83"/>
      <c r="M13" s="83"/>
      <c r="N13" s="83"/>
      <c r="O13" s="83"/>
    </row>
    <row r="14" spans="1:16" ht="13.5" customHeight="1" x14ac:dyDescent="0.15">
      <c r="A14" s="160"/>
      <c r="B14" s="316" t="s">
        <v>62</v>
      </c>
      <c r="C14" s="317">
        <f>'2020 Monthly CashFlow'!C14</f>
        <v>16</v>
      </c>
      <c r="D14" s="320"/>
      <c r="E14" s="339"/>
      <c r="F14" s="321"/>
      <c r="G14" s="321"/>
      <c r="H14" s="321"/>
      <c r="I14" s="92"/>
      <c r="J14" s="92"/>
      <c r="K14" s="83"/>
      <c r="L14" s="83"/>
      <c r="M14" s="83"/>
      <c r="N14" s="83"/>
      <c r="O14" s="83"/>
    </row>
    <row r="15" spans="1:16" x14ac:dyDescent="0.15">
      <c r="A15" s="435" t="s">
        <v>42</v>
      </c>
      <c r="B15" s="435"/>
      <c r="C15" s="435"/>
      <c r="D15" s="312"/>
      <c r="E15" s="337"/>
      <c r="F15" s="91"/>
      <c r="G15" s="91" t="s">
        <v>48</v>
      </c>
      <c r="H15" s="91"/>
      <c r="I15" s="92"/>
      <c r="J15" s="92"/>
      <c r="K15" s="83"/>
      <c r="L15" s="83"/>
      <c r="M15" s="83"/>
      <c r="N15" s="83"/>
      <c r="O15" s="83"/>
      <c r="P15" s="86"/>
    </row>
    <row r="16" spans="1:16" x14ac:dyDescent="0.15">
      <c r="A16" s="299"/>
      <c r="B16" s="429" t="s">
        <v>91</v>
      </c>
      <c r="C16" s="429"/>
      <c r="D16" s="300"/>
      <c r="E16" s="322"/>
      <c r="F16" s="323"/>
      <c r="G16" s="324">
        <v>50</v>
      </c>
      <c r="H16" s="160">
        <v>200</v>
      </c>
      <c r="I16" s="160">
        <v>400</v>
      </c>
      <c r="J16" s="160">
        <v>400</v>
      </c>
      <c r="K16" s="83"/>
      <c r="L16" s="83"/>
      <c r="M16" s="83"/>
      <c r="N16" s="83"/>
      <c r="O16" s="83"/>
      <c r="P16" s="86"/>
    </row>
    <row r="17" spans="1:16" x14ac:dyDescent="0.15">
      <c r="A17" s="299"/>
      <c r="B17" s="430" t="s">
        <v>41</v>
      </c>
      <c r="C17" s="430"/>
      <c r="D17" s="303">
        <f>'2020 Monthly CashFlow'!D6</f>
        <v>25</v>
      </c>
      <c r="E17" s="322">
        <f>+SUM(F17:J17)</f>
        <v>100</v>
      </c>
      <c r="F17" s="325"/>
      <c r="G17" s="325">
        <f>'2020 Monthly CashFlow'!D6</f>
        <v>25</v>
      </c>
      <c r="H17" s="325">
        <f>'2020 Monthly CashFlow'!D6</f>
        <v>25</v>
      </c>
      <c r="I17" s="325">
        <f>'2020 Monthly CashFlow'!D6</f>
        <v>25</v>
      </c>
      <c r="J17" s="325">
        <f>'2020 Monthly CashFlow'!D6</f>
        <v>25</v>
      </c>
      <c r="K17" s="83"/>
      <c r="L17" s="83"/>
      <c r="M17" s="83"/>
      <c r="N17" s="83"/>
      <c r="O17" s="83"/>
      <c r="P17" s="83"/>
    </row>
    <row r="18" spans="1:16" x14ac:dyDescent="0.15">
      <c r="A18" s="299"/>
      <c r="B18" s="429" t="s">
        <v>89</v>
      </c>
      <c r="C18" s="429"/>
      <c r="D18" s="326"/>
      <c r="E18" s="322">
        <f>SUM(F18:J18)</f>
        <v>26250</v>
      </c>
      <c r="F18" s="309"/>
      <c r="G18" s="309">
        <f>G16*G17</f>
        <v>1250</v>
      </c>
      <c r="H18" s="309">
        <f t="shared" ref="H18" si="2">H16*H17</f>
        <v>5000</v>
      </c>
      <c r="I18" s="309">
        <f t="shared" ref="I18" si="3">I16*I17</f>
        <v>10000</v>
      </c>
      <c r="J18" s="309">
        <f t="shared" ref="J18" si="4">J16*J17</f>
        <v>10000</v>
      </c>
      <c r="K18" s="83"/>
      <c r="L18" s="83"/>
      <c r="M18" s="83"/>
      <c r="N18" s="83"/>
      <c r="O18" s="83"/>
      <c r="P18" s="83"/>
    </row>
    <row r="19" spans="1:16" x14ac:dyDescent="0.15">
      <c r="A19" s="299"/>
      <c r="B19" s="307" t="s">
        <v>94</v>
      </c>
      <c r="C19" s="307"/>
      <c r="D19" s="308">
        <f>'2020 Monthly CashFlow'!D19</f>
        <v>0.9</v>
      </c>
      <c r="E19" s="322"/>
      <c r="F19" s="309"/>
      <c r="G19" s="309"/>
      <c r="H19" s="309"/>
      <c r="I19" s="309"/>
      <c r="J19" s="309"/>
      <c r="K19" s="83"/>
      <c r="L19" s="83"/>
      <c r="M19" s="83"/>
      <c r="N19" s="83"/>
      <c r="O19" s="83"/>
      <c r="P19" s="83"/>
    </row>
    <row r="20" spans="1:16" x14ac:dyDescent="0.15">
      <c r="A20" s="91"/>
      <c r="B20" s="433" t="s">
        <v>80</v>
      </c>
      <c r="C20" s="433"/>
      <c r="D20" s="160"/>
      <c r="E20" s="327">
        <f>SUM(F20:J20)</f>
        <v>24862.5</v>
      </c>
      <c r="F20" s="268"/>
      <c r="G20" s="268">
        <f t="shared" ref="G20:I20" si="5">G18*$D$9*$D$19</f>
        <v>956.25</v>
      </c>
      <c r="H20" s="268">
        <f t="shared" si="5"/>
        <v>3825</v>
      </c>
      <c r="I20" s="268">
        <f t="shared" si="5"/>
        <v>7650</v>
      </c>
      <c r="J20" s="268">
        <f>SUM(F20:I20)</f>
        <v>12431.25</v>
      </c>
      <c r="K20" s="83"/>
      <c r="L20" s="83"/>
      <c r="M20" s="83"/>
      <c r="N20" s="83"/>
      <c r="O20" s="83"/>
      <c r="P20" s="83"/>
    </row>
    <row r="21" spans="1:16" x14ac:dyDescent="0.15">
      <c r="A21" s="160"/>
      <c r="B21" s="433" t="s">
        <v>81</v>
      </c>
      <c r="C21" s="433"/>
      <c r="D21" s="176"/>
      <c r="E21" s="327">
        <f>SUM(F21:J21)</f>
        <v>58500</v>
      </c>
      <c r="F21" s="328"/>
      <c r="G21" s="328">
        <f t="shared" ref="G21:I21" si="6">G18*$D$11*$D$19</f>
        <v>2250</v>
      </c>
      <c r="H21" s="328">
        <f t="shared" si="6"/>
        <v>9000</v>
      </c>
      <c r="I21" s="328">
        <f t="shared" si="6"/>
        <v>18000</v>
      </c>
      <c r="J21" s="328">
        <f>SUM(F21:I21)</f>
        <v>29250</v>
      </c>
      <c r="K21" s="83"/>
      <c r="L21" s="83"/>
      <c r="M21" s="83"/>
      <c r="N21" s="83"/>
      <c r="O21" s="83"/>
      <c r="P21" s="83"/>
    </row>
    <row r="22" spans="1:16" x14ac:dyDescent="0.15">
      <c r="A22" s="428" t="s">
        <v>71</v>
      </c>
      <c r="B22" s="428"/>
      <c r="C22" s="428"/>
      <c r="D22" s="329"/>
      <c r="E22" s="337"/>
      <c r="F22" s="93"/>
      <c r="G22" s="93"/>
      <c r="H22" s="91"/>
      <c r="I22" s="91"/>
      <c r="J22" s="91"/>
      <c r="K22" s="83"/>
      <c r="L22" s="83"/>
      <c r="M22" s="83"/>
    </row>
    <row r="23" spans="1:16" ht="12.75" customHeight="1" x14ac:dyDescent="0.15">
      <c r="A23" s="91"/>
      <c r="B23" s="431" t="s">
        <v>68</v>
      </c>
      <c r="C23" s="431"/>
      <c r="D23" s="176"/>
      <c r="E23" s="295">
        <f>+SUM(F23:J23)</f>
        <v>5421937.5</v>
      </c>
      <c r="F23" s="177">
        <f>F10*$C$13</f>
        <v>3413812.5</v>
      </c>
      <c r="G23" s="177">
        <f>G10*$C$13</f>
        <v>2008125</v>
      </c>
      <c r="H23" s="177"/>
      <c r="I23" s="177"/>
      <c r="J23" s="177"/>
      <c r="K23" s="83"/>
      <c r="L23" s="83"/>
      <c r="M23" s="83"/>
    </row>
    <row r="24" spans="1:16" x14ac:dyDescent="0.15">
      <c r="A24" s="91"/>
      <c r="B24" s="431" t="s">
        <v>69</v>
      </c>
      <c r="C24" s="431"/>
      <c r="D24" s="176"/>
      <c r="E24" s="295">
        <f>+SUM(F24:J24)</f>
        <v>136080</v>
      </c>
      <c r="F24" s="256">
        <f>F12*$C$14</f>
        <v>85680</v>
      </c>
      <c r="G24" s="256">
        <f>G12*$C$14</f>
        <v>50400</v>
      </c>
      <c r="H24" s="256"/>
      <c r="I24" s="256"/>
      <c r="J24" s="256"/>
      <c r="K24" s="83"/>
      <c r="L24" s="83"/>
      <c r="M24" s="83"/>
    </row>
    <row r="25" spans="1:16" x14ac:dyDescent="0.15">
      <c r="A25" s="91"/>
      <c r="B25" s="330" t="s">
        <v>107</v>
      </c>
      <c r="C25" s="330"/>
      <c r="D25" s="176"/>
      <c r="E25" s="295">
        <f>SUM(E23:E24)</f>
        <v>5558017.5</v>
      </c>
      <c r="F25" s="296">
        <f t="shared" ref="F25:G25" si="7">SUM(F23:F24)</f>
        <v>3499492.5</v>
      </c>
      <c r="G25" s="296">
        <f t="shared" si="7"/>
        <v>2058525</v>
      </c>
      <c r="H25" s="296"/>
      <c r="I25" s="296"/>
      <c r="J25" s="296"/>
      <c r="K25" s="83"/>
      <c r="L25" s="83"/>
      <c r="M25" s="83"/>
    </row>
    <row r="26" spans="1:16" x14ac:dyDescent="0.15">
      <c r="A26" s="91"/>
      <c r="B26" s="331"/>
      <c r="C26" s="331"/>
      <c r="D26" s="176"/>
      <c r="E26" s="295"/>
      <c r="F26" s="340"/>
      <c r="G26" s="340"/>
      <c r="H26" s="254"/>
      <c r="I26" s="254"/>
      <c r="J26" s="254"/>
      <c r="K26" s="83"/>
      <c r="L26" s="83"/>
      <c r="M26" s="83"/>
    </row>
    <row r="27" spans="1:16" x14ac:dyDescent="0.15">
      <c r="A27" s="91"/>
      <c r="B27" s="331" t="s">
        <v>46</v>
      </c>
      <c r="C27" s="331"/>
      <c r="D27" s="176"/>
      <c r="E27" s="295">
        <f>+SUM(F27:J27)</f>
        <v>47334375</v>
      </c>
      <c r="F27" s="256">
        <f>'2020 Monthly CashFlow'!E27</f>
        <v>1434375</v>
      </c>
      <c r="G27" s="92">
        <v>10040625</v>
      </c>
      <c r="H27" s="92">
        <f>H20*$C$13</f>
        <v>5737500</v>
      </c>
      <c r="I27" s="92">
        <f t="shared" ref="I27:J27" si="8">I20*$C$13</f>
        <v>11475000</v>
      </c>
      <c r="J27" s="92">
        <f t="shared" si="8"/>
        <v>18646875</v>
      </c>
      <c r="K27" s="83"/>
      <c r="L27" s="85"/>
      <c r="M27" s="83"/>
    </row>
    <row r="28" spans="1:16" x14ac:dyDescent="0.15">
      <c r="A28" s="91"/>
      <c r="B28" s="432" t="s">
        <v>67</v>
      </c>
      <c r="C28" s="432"/>
      <c r="D28" s="176"/>
      <c r="E28" s="295">
        <f>+SUM(F28:J28)</f>
        <v>1188000</v>
      </c>
      <c r="F28" s="302">
        <f>'2020 Monthly CashFlow'!E28</f>
        <v>36000</v>
      </c>
      <c r="G28" s="167">
        <v>252000</v>
      </c>
      <c r="H28" s="302">
        <f>H21*$C$14</f>
        <v>144000</v>
      </c>
      <c r="I28" s="302">
        <f t="shared" ref="I28:J28" si="9">I21*$C$14</f>
        <v>288000</v>
      </c>
      <c r="J28" s="302">
        <f t="shared" si="9"/>
        <v>468000</v>
      </c>
      <c r="M28" s="83"/>
    </row>
    <row r="29" spans="1:16" ht="13.5" customHeight="1" x14ac:dyDescent="0.15">
      <c r="A29" s="91"/>
      <c r="B29" s="330" t="s">
        <v>108</v>
      </c>
      <c r="C29" s="330"/>
      <c r="D29" s="176"/>
      <c r="E29" s="295">
        <f>SUM(E27:E28)</f>
        <v>48522375</v>
      </c>
      <c r="F29" s="297">
        <f>SUM(F27:F28)</f>
        <v>1470375</v>
      </c>
      <c r="G29" s="297">
        <f>SUM(G27:G28)</f>
        <v>10292625</v>
      </c>
      <c r="H29" s="297">
        <f t="shared" ref="H29:J29" si="10">SUM(H27:H28)</f>
        <v>5881500</v>
      </c>
      <c r="I29" s="297">
        <f t="shared" si="10"/>
        <v>11763000</v>
      </c>
      <c r="J29" s="297">
        <f t="shared" si="10"/>
        <v>19114875</v>
      </c>
      <c r="K29" s="95"/>
      <c r="P29" s="83"/>
    </row>
    <row r="30" spans="1:16" ht="13.5" customHeight="1" x14ac:dyDescent="0.15">
      <c r="A30" s="91"/>
      <c r="B30" s="332" t="s">
        <v>92</v>
      </c>
      <c r="C30" s="330"/>
      <c r="D30" s="176"/>
      <c r="E30" s="298">
        <f>E25+E29</f>
        <v>54080392.5</v>
      </c>
      <c r="F30" s="298">
        <f t="shared" ref="F30:J30" si="11">F25+F29</f>
        <v>4969867.5</v>
      </c>
      <c r="G30" s="298">
        <f t="shared" si="11"/>
        <v>12351150</v>
      </c>
      <c r="H30" s="298">
        <f t="shared" si="11"/>
        <v>5881500</v>
      </c>
      <c r="I30" s="298">
        <f t="shared" si="11"/>
        <v>11763000</v>
      </c>
      <c r="J30" s="298">
        <f t="shared" si="11"/>
        <v>19114875</v>
      </c>
      <c r="K30" s="95"/>
      <c r="P30" s="83"/>
    </row>
    <row r="31" spans="1:16" x14ac:dyDescent="0.15">
      <c r="A31" s="91"/>
      <c r="B31" s="160"/>
      <c r="C31" s="160"/>
      <c r="D31" s="160"/>
      <c r="E31" s="337"/>
      <c r="F31" s="160"/>
      <c r="G31" s="160"/>
      <c r="H31" s="160"/>
      <c r="I31" s="160"/>
      <c r="J31" s="160"/>
      <c r="K31" s="95"/>
      <c r="P31" s="83"/>
    </row>
    <row r="32" spans="1:16" x14ac:dyDescent="0.15">
      <c r="A32" s="91"/>
      <c r="B32" s="434" t="s">
        <v>32</v>
      </c>
      <c r="C32" s="434"/>
      <c r="D32" s="176"/>
      <c r="E32" s="298">
        <f>+SUM(F32:J32)</f>
        <v>22576346.300000001</v>
      </c>
      <c r="F32" s="93">
        <f>'2020 Monthly CashFlow'!E71</f>
        <v>2783000</v>
      </c>
      <c r="G32" s="93">
        <f>'2 Yr Quarterly'!O32</f>
        <v>4422600</v>
      </c>
      <c r="H32" s="93">
        <f>G32*1.05</f>
        <v>4643730</v>
      </c>
      <c r="I32" s="270">
        <f>H32*1.1</f>
        <v>5108103</v>
      </c>
      <c r="J32" s="270">
        <f>I32*1.1</f>
        <v>5618913.3000000007</v>
      </c>
      <c r="K32" s="95"/>
      <c r="P32" s="83"/>
    </row>
    <row r="33" spans="1:16" x14ac:dyDescent="0.15">
      <c r="A33" s="91"/>
      <c r="B33" s="360"/>
      <c r="C33" s="360"/>
      <c r="D33" s="176"/>
      <c r="E33" s="298"/>
      <c r="F33" s="93"/>
      <c r="G33" s="93"/>
      <c r="H33" s="93"/>
      <c r="I33" s="270"/>
      <c r="J33" s="270"/>
      <c r="K33" s="95"/>
      <c r="P33" s="83"/>
    </row>
    <row r="34" spans="1:16" ht="14" x14ac:dyDescent="0.15">
      <c r="A34" s="91"/>
      <c r="B34" s="357" t="s">
        <v>57</v>
      </c>
      <c r="C34" s="358">
        <v>0.15</v>
      </c>
      <c r="D34" s="176"/>
      <c r="E34" s="298">
        <f>+SUM(F34:J34)</f>
        <v>3386451.9450000003</v>
      </c>
      <c r="F34" s="93">
        <f>$C$34*F32</f>
        <v>417450</v>
      </c>
      <c r="G34" s="93">
        <f t="shared" ref="G34:J34" si="12">$C$34*G32</f>
        <v>663390</v>
      </c>
      <c r="H34" s="93">
        <f t="shared" si="12"/>
        <v>696559.5</v>
      </c>
      <c r="I34" s="93">
        <f t="shared" si="12"/>
        <v>766215.45</v>
      </c>
      <c r="J34" s="93">
        <f t="shared" si="12"/>
        <v>842836.99500000011</v>
      </c>
      <c r="K34" s="95"/>
      <c r="P34" s="83"/>
    </row>
    <row r="35" spans="1:16" ht="13" x14ac:dyDescent="0.15">
      <c r="A35" s="91"/>
      <c r="B35" s="357"/>
      <c r="C35" s="359"/>
      <c r="D35" s="176"/>
      <c r="E35" s="298"/>
      <c r="F35" s="93"/>
      <c r="G35" s="93"/>
      <c r="H35" s="93"/>
      <c r="I35" s="270"/>
      <c r="J35" s="270"/>
      <c r="K35" s="95"/>
      <c r="P35" s="83"/>
    </row>
    <row r="36" spans="1:16" ht="12" customHeight="1" x14ac:dyDescent="0.15">
      <c r="A36" s="427" t="s">
        <v>109</v>
      </c>
      <c r="B36" s="427"/>
      <c r="C36" s="427"/>
      <c r="D36" s="176"/>
      <c r="E36" s="298">
        <f>E30-E32-E34</f>
        <v>28117594.254999999</v>
      </c>
      <c r="F36" s="298">
        <f t="shared" ref="F36:J36" si="13">F30-F32-F34</f>
        <v>1769417.5</v>
      </c>
      <c r="G36" s="298">
        <f t="shared" si="13"/>
        <v>7265160</v>
      </c>
      <c r="H36" s="298">
        <f t="shared" si="13"/>
        <v>541210.5</v>
      </c>
      <c r="I36" s="298">
        <f t="shared" si="13"/>
        <v>5888681.5499999998</v>
      </c>
      <c r="J36" s="298">
        <f t="shared" si="13"/>
        <v>12653124.704999998</v>
      </c>
      <c r="P36" s="83"/>
    </row>
    <row r="37" spans="1:16" x14ac:dyDescent="0.15">
      <c r="A37" s="91"/>
      <c r="B37" s="91"/>
      <c r="C37" s="91"/>
      <c r="D37" s="176"/>
      <c r="E37" s="337"/>
      <c r="F37" s="91"/>
      <c r="G37" s="91"/>
      <c r="H37" s="91"/>
      <c r="I37" s="160"/>
      <c r="J37" s="160"/>
      <c r="P37" s="83"/>
    </row>
    <row r="38" spans="1:16" x14ac:dyDescent="0.15">
      <c r="A38" s="333"/>
      <c r="B38" s="163" t="s">
        <v>110</v>
      </c>
      <c r="C38" s="333"/>
      <c r="D38" s="176"/>
      <c r="E38" s="361">
        <f t="shared" ref="E38:J38" si="14">E32/E30</f>
        <v>0.41745899495829292</v>
      </c>
      <c r="F38" s="361">
        <f t="shared" si="14"/>
        <v>0.55997468745394119</v>
      </c>
      <c r="G38" s="361">
        <f t="shared" si="14"/>
        <v>0.35807192042846214</v>
      </c>
      <c r="H38" s="361">
        <f t="shared" si="14"/>
        <v>0.78954858454475896</v>
      </c>
      <c r="I38" s="361">
        <f t="shared" si="14"/>
        <v>0.43425172149961744</v>
      </c>
      <c r="J38" s="361">
        <f t="shared" si="14"/>
        <v>0.29395501147666414</v>
      </c>
      <c r="P38" s="83"/>
    </row>
    <row r="39" spans="1:16" x14ac:dyDescent="0.15">
      <c r="A39" s="333"/>
      <c r="B39" s="163"/>
      <c r="C39" s="333"/>
      <c r="D39" s="176"/>
      <c r="E39" s="341"/>
      <c r="F39" s="341"/>
      <c r="G39" s="341"/>
      <c r="H39" s="341"/>
      <c r="I39" s="341"/>
      <c r="J39" s="341"/>
      <c r="P39" s="83"/>
    </row>
    <row r="40" spans="1:16" x14ac:dyDescent="0.15">
      <c r="A40" s="160"/>
      <c r="B40" s="160"/>
      <c r="C40" s="160"/>
      <c r="D40" s="425" t="s">
        <v>34</v>
      </c>
      <c r="E40" s="425"/>
      <c r="F40" s="425"/>
      <c r="G40" s="160"/>
      <c r="H40" s="160"/>
      <c r="I40" s="160"/>
      <c r="J40" s="160"/>
    </row>
    <row r="41" spans="1:16" x14ac:dyDescent="0.15">
      <c r="A41" s="426" t="s">
        <v>37</v>
      </c>
      <c r="B41" s="426"/>
      <c r="C41" s="426"/>
      <c r="D41" s="334">
        <v>0.1</v>
      </c>
      <c r="E41" s="342">
        <f>E36*$D$41</f>
        <v>2811759.4254999999</v>
      </c>
      <c r="F41" s="342">
        <f t="shared" ref="F41:J41" si="15">F36*$D$41</f>
        <v>176941.75</v>
      </c>
      <c r="G41" s="342">
        <f t="shared" si="15"/>
        <v>726516</v>
      </c>
      <c r="H41" s="342">
        <f t="shared" si="15"/>
        <v>54121.05</v>
      </c>
      <c r="I41" s="342">
        <f t="shared" si="15"/>
        <v>588868.15500000003</v>
      </c>
      <c r="J41" s="342">
        <f t="shared" si="15"/>
        <v>1265312.4704999998</v>
      </c>
    </row>
    <row r="42" spans="1:16" x14ac:dyDescent="0.15">
      <c r="A42" s="285"/>
      <c r="B42" s="423" t="s">
        <v>56</v>
      </c>
      <c r="C42" s="423"/>
      <c r="D42" s="334">
        <v>0.9</v>
      </c>
      <c r="E42" s="342">
        <f>E36*$D$42</f>
        <v>25305834.829500001</v>
      </c>
      <c r="F42" s="342">
        <f t="shared" ref="F42:J42" si="16">F36*$D$42</f>
        <v>1592475.75</v>
      </c>
      <c r="G42" s="342">
        <f t="shared" si="16"/>
        <v>6538644</v>
      </c>
      <c r="H42" s="342">
        <f t="shared" si="16"/>
        <v>487089.45</v>
      </c>
      <c r="I42" s="342">
        <f t="shared" si="16"/>
        <v>5299813.3949999996</v>
      </c>
      <c r="J42" s="342">
        <f t="shared" si="16"/>
        <v>11387812.234499998</v>
      </c>
    </row>
    <row r="43" spans="1:16" x14ac:dyDescent="0.15">
      <c r="A43" s="160"/>
      <c r="B43" s="424"/>
      <c r="C43" s="424"/>
      <c r="D43" s="334"/>
      <c r="E43" s="343"/>
      <c r="F43" s="166"/>
      <c r="G43" s="166"/>
      <c r="H43" s="166"/>
      <c r="I43" s="160"/>
      <c r="J43" s="160"/>
    </row>
  </sheetData>
  <mergeCells count="26">
    <mergeCell ref="A1:J1"/>
    <mergeCell ref="A2:J2"/>
    <mergeCell ref="K2:P2"/>
    <mergeCell ref="A3:B3"/>
    <mergeCell ref="B4:D4"/>
    <mergeCell ref="B5:C5"/>
    <mergeCell ref="B6:C6"/>
    <mergeCell ref="B7:C7"/>
    <mergeCell ref="B9:C9"/>
    <mergeCell ref="B10:C10"/>
    <mergeCell ref="B24:C24"/>
    <mergeCell ref="B28:C28"/>
    <mergeCell ref="B20:C20"/>
    <mergeCell ref="B32:C32"/>
    <mergeCell ref="A15:C15"/>
    <mergeCell ref="B21:C21"/>
    <mergeCell ref="A22:C22"/>
    <mergeCell ref="B16:C16"/>
    <mergeCell ref="B17:C17"/>
    <mergeCell ref="B18:C18"/>
    <mergeCell ref="B23:C23"/>
    <mergeCell ref="B42:C42"/>
    <mergeCell ref="B43:C43"/>
    <mergeCell ref="D40:F40"/>
    <mergeCell ref="A41:C41"/>
    <mergeCell ref="A36:C36"/>
  </mergeCells>
  <phoneticPr fontId="43" type="noConversion"/>
  <pageMargins left="0.75" right="0.75" top="1" bottom="1" header="0.5" footer="0.5"/>
  <pageSetup orientation="portrait" horizontalDpi="0" verticalDpi="0"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2020 Monthly CashFlow</vt:lpstr>
      <vt:lpstr>2 Yr Quarterly</vt:lpstr>
      <vt:lpstr>PokerGame5yr</vt:lpstr>
      <vt:lpstr>'2 Yr Quarterly'!Print_Area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c:creator>
  <cp:lastModifiedBy>Microsoft Office User</cp:lastModifiedBy>
  <cp:lastPrinted>2018-12-08T18:53:29Z</cp:lastPrinted>
  <dcterms:created xsi:type="dcterms:W3CDTF">2013-07-20T21:03:20Z</dcterms:created>
  <dcterms:modified xsi:type="dcterms:W3CDTF">2020-11-25T18:58:45Z</dcterms:modified>
</cp:coreProperties>
</file>